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44" firstSheet="3" activeTab="4"/>
  </bookViews>
  <sheets>
    <sheet name="@kbtasto@she3#" sheetId="3" state="hidden" r:id="rId1"/>
    <sheet name="交接表" sheetId="8" state="hidden" r:id="rId2"/>
    <sheet name="Sheet1" sheetId="10" state="hidden" r:id="rId3"/>
    <sheet name="吸塑门板单" sheetId="17" r:id="rId4"/>
    <sheet name="吸塑料单" sheetId="18" r:id="rId5"/>
    <sheet name="吸塑交接表" sheetId="19"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buxudong" localSheetId="6">[1]下料单2!#REF!</definedName>
    <definedName name="buxudong" localSheetId="9">[2]下料单2!#REF!</definedName>
    <definedName name="buxudong" localSheetId="12">[3]下料单2!#REF!</definedName>
    <definedName name="buxudong" localSheetId="5">[4]下料单2!#REF!</definedName>
    <definedName name="buxudong">[5]下料单2!#REF!</definedName>
    <definedName name="EV浅橡_直_N23_H">#REF!</definedName>
    <definedName name="HY" localSheetId="6">#REF!</definedName>
    <definedName name="HY" localSheetId="9">#REF!</definedName>
    <definedName name="HY" localSheetId="12">#REF!</definedName>
    <definedName name="HY" localSheetId="5">#REF!</definedName>
    <definedName name="HY">#REF!</definedName>
    <definedName name="MQ" localSheetId="6">#REF!</definedName>
    <definedName name="MQ" localSheetId="9">#REF!</definedName>
    <definedName name="MQ" localSheetId="12">#REF!</definedName>
    <definedName name="MQ" localSheetId="5">#REF!</definedName>
    <definedName name="MQ">#REF!</definedName>
    <definedName name="MS" localSheetId="6">#REF!</definedName>
    <definedName name="MS" localSheetId="9">#REF!</definedName>
    <definedName name="MS" localSheetId="12">#REF!</definedName>
    <definedName name="MS" localSheetId="5">#REF!</definedName>
    <definedName name="MS">#REF!</definedName>
    <definedName name="MT" localSheetId="6">#REF!</definedName>
    <definedName name="MT" localSheetId="9">#REF!</definedName>
    <definedName name="MT" localSheetId="12">#REF!</definedName>
    <definedName name="MT" localSheetId="5">#REF!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6">'免漆 (2)'!$A$1:$I$47</definedName>
    <definedName name="_xlnm.Print_Area" localSheetId="8">'免漆料单 (2)'!$A$1:$R$22</definedName>
    <definedName name="_xlnm.Print_Area" localSheetId="7">'免漆门板单 (2)'!$A$1:$K$43</definedName>
    <definedName name="_xlnm.Print_Area" localSheetId="12">实木!$A$1:$I$47</definedName>
    <definedName name="_xlnm.Print_Area" localSheetId="18">外阜包装!$A$1:$L$93</definedName>
    <definedName name="_xlnm.Print_Area" localSheetId="4">吸塑料单!$A$1:$F$30</definedName>
    <definedName name="_xlnm.Print_Area" localSheetId="3">吸塑门板单!$A$1:$M$54</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24519"/>
</workbook>
</file>

<file path=xl/calcChain.xml><?xml version="1.0" encoding="utf-8"?>
<calcChain xmlns="http://schemas.openxmlformats.org/spreadsheetml/2006/main">
  <c r="M3" i="17"/>
  <c r="M2"/>
  <c r="K3"/>
  <c r="K2"/>
  <c r="D2"/>
  <c r="B2"/>
  <c r="E2" i="18"/>
  <c r="D24"/>
  <c r="D23"/>
  <c r="C24"/>
  <c r="C23"/>
  <c r="C21"/>
  <c r="C20"/>
  <c r="C17"/>
  <c r="I20" l="1"/>
  <c r="I11"/>
  <c r="C11" s="1"/>
  <c r="E7"/>
  <c r="I21"/>
  <c r="C9"/>
  <c r="C7"/>
  <c r="C6"/>
  <c r="I1"/>
  <c r="A1" s="1"/>
  <c r="P10" i="17"/>
  <c r="P8" l="1"/>
  <c r="P9"/>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7"/>
  <c r="G3"/>
  <c r="Z22" s="1"/>
  <c r="W11" l="1"/>
  <c r="W12"/>
  <c r="W13"/>
  <c r="W14"/>
  <c r="W15"/>
  <c r="W16"/>
  <c r="W17"/>
  <c r="W18"/>
  <c r="W19"/>
  <c r="W20"/>
  <c r="W21"/>
  <c r="W22"/>
  <c r="W23"/>
  <c r="W24"/>
  <c r="W25"/>
  <c r="W26"/>
  <c r="W27"/>
  <c r="W28"/>
  <c r="W10"/>
  <c r="W52" l="1"/>
  <c r="D25" i="18" s="1"/>
  <c r="D26" s="1"/>
  <c r="H11" i="17"/>
  <c r="H12"/>
  <c r="H13"/>
  <c r="H14"/>
  <c r="H15"/>
  <c r="H16"/>
  <c r="H17"/>
  <c r="H18"/>
  <c r="H19"/>
  <c r="H20"/>
  <c r="H21"/>
  <c r="H22"/>
  <c r="H23"/>
  <c r="H24"/>
  <c r="H25"/>
  <c r="H26"/>
  <c r="H27"/>
  <c r="H28"/>
  <c r="H35"/>
  <c r="H36"/>
  <c r="H37"/>
  <c r="H38"/>
  <c r="H39"/>
  <c r="G11"/>
  <c r="G12"/>
  <c r="G13"/>
  <c r="G14"/>
  <c r="G15"/>
  <c r="G16"/>
  <c r="G17"/>
  <c r="G18"/>
  <c r="G19"/>
  <c r="G20"/>
  <c r="G21"/>
  <c r="G22"/>
  <c r="G23"/>
  <c r="G24"/>
  <c r="G25"/>
  <c r="G26"/>
  <c r="G27"/>
  <c r="G28"/>
  <c r="G35"/>
  <c r="G36"/>
  <c r="G37"/>
  <c r="G38"/>
  <c r="G39"/>
  <c r="H10"/>
  <c r="G10"/>
  <c r="G33" l="1"/>
  <c r="G31"/>
  <c r="G34"/>
  <c r="G32"/>
  <c r="G30"/>
  <c r="G40"/>
  <c r="G41"/>
  <c r="G42"/>
  <c r="G43"/>
  <c r="G44"/>
  <c r="G46"/>
  <c r="H7"/>
  <c r="I15"/>
  <c r="G7"/>
  <c r="Z24" l="1"/>
  <c r="S7"/>
  <c r="O48"/>
  <c r="N48"/>
  <c r="N46"/>
  <c r="C10" i="18"/>
  <c r="T46" i="17"/>
  <c r="I3" i="19"/>
  <c r="I2"/>
  <c r="O3" i="18"/>
  <c r="E9" s="1"/>
  <c r="H30" i="17" l="1"/>
  <c r="H32"/>
  <c r="H34"/>
  <c r="H31"/>
  <c r="H33"/>
  <c r="E11" i="18"/>
  <c r="K5" i="17"/>
  <c r="O10"/>
  <c r="O11"/>
  <c r="O12"/>
  <c r="O13"/>
  <c r="O14"/>
  <c r="O15"/>
  <c r="O16"/>
  <c r="O17"/>
  <c r="O18"/>
  <c r="O19"/>
  <c r="O20"/>
  <c r="O21"/>
  <c r="O22"/>
  <c r="O23"/>
  <c r="O24"/>
  <c r="O25"/>
  <c r="O26"/>
  <c r="O27"/>
  <c r="O28"/>
  <c r="O29"/>
  <c r="O30"/>
  <c r="O31"/>
  <c r="O32"/>
  <c r="O33"/>
  <c r="O34"/>
  <c r="O35"/>
  <c r="O36"/>
  <c r="O37"/>
  <c r="O38"/>
  <c r="O39"/>
  <c r="O40"/>
  <c r="O41"/>
  <c r="O42"/>
  <c r="O43"/>
  <c r="O44"/>
  <c r="O46"/>
  <c r="O47"/>
  <c r="O49"/>
  <c r="O50"/>
  <c r="Q37"/>
  <c r="Q38"/>
  <c r="Q39"/>
  <c r="Q35"/>
  <c r="Q36"/>
  <c r="I34"/>
  <c r="R34" s="1"/>
  <c r="N34"/>
  <c r="S34"/>
  <c r="E2" i="19" l="1"/>
  <c r="C3" i="18"/>
  <c r="E3" i="19"/>
  <c r="B4"/>
  <c r="I4"/>
  <c r="E4"/>
  <c r="B2"/>
  <c r="B3" l="1"/>
  <c r="C2" i="18"/>
  <c r="I9" i="17" l="1"/>
  <c r="H8"/>
  <c r="G8"/>
  <c r="I7"/>
  <c r="G9" l="1"/>
  <c r="I8"/>
  <c r="H9"/>
  <c r="E4" i="31"/>
  <c r="D22" i="18"/>
  <c r="I3" i="33" l="1"/>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T9" i="18" l="1"/>
  <c r="T7"/>
  <c r="P7"/>
  <c r="I1" i="31" l="1"/>
  <c r="I2"/>
  <c r="B4"/>
  <c r="B2" l="1"/>
  <c r="E2" l="1"/>
  <c r="C45" i="17"/>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C5"/>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L4"/>
  <c r="H5" i="28" s="1"/>
  <c r="D4" i="27"/>
  <c r="E5" i="28" s="1"/>
  <c r="L3" i="27"/>
  <c r="D2"/>
  <c r="O38" i="26"/>
  <c r="V33" i="27" s="1"/>
  <c r="Y33"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G45" i="17" l="1"/>
  <c r="O45"/>
  <c r="D3" i="27"/>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c r="C2" i="24" s="1"/>
  <c r="C5" i="23"/>
  <c r="C4" i="24" s="1"/>
  <c r="C4" i="23"/>
  <c r="C3" i="24" s="1"/>
  <c r="H5" i="25"/>
  <c r="H3"/>
  <c r="E3"/>
  <c r="B3"/>
  <c r="L23" i="24"/>
  <c r="L22"/>
  <c r="L21"/>
  <c r="L20"/>
  <c r="L19"/>
  <c r="L18"/>
  <c r="L17"/>
  <c r="L16"/>
  <c r="L15"/>
  <c r="L14"/>
  <c r="D14"/>
  <c r="L13"/>
  <c r="D13"/>
  <c r="L12"/>
  <c r="D12"/>
  <c r="L11"/>
  <c r="A55" i="23" s="1"/>
  <c r="D11" i="24"/>
  <c r="L10"/>
  <c r="L9"/>
  <c r="L8"/>
  <c r="L7"/>
  <c r="L6"/>
  <c r="H6"/>
  <c r="C20" s="1"/>
  <c r="C6"/>
  <c r="L5"/>
  <c r="H4"/>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K36" i="23" l="1"/>
  <c r="G22" i="24"/>
  <c r="D21"/>
  <c r="F21"/>
  <c r="G21"/>
  <c r="D22"/>
  <c r="C21"/>
  <c r="C10" i="25"/>
  <c r="C25"/>
  <c r="C26" s="1"/>
  <c r="C27" s="1"/>
  <c r="C28" s="1"/>
  <c r="C29" s="1"/>
  <c r="C30" s="1"/>
  <c r="C31" s="1"/>
  <c r="C32" s="1"/>
  <c r="C33" s="1"/>
  <c r="C34" s="1"/>
  <c r="C35" s="1"/>
  <c r="F16" i="24"/>
  <c r="G19"/>
  <c r="D16"/>
  <c r="F19"/>
  <c r="G20"/>
  <c r="F15"/>
  <c r="F17"/>
  <c r="C19"/>
  <c r="F20"/>
  <c r="D15"/>
  <c r="D17"/>
  <c r="D18" s="1"/>
  <c r="G18"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E3" i="18"/>
  <c r="D3"/>
  <c r="R50" i="17"/>
  <c r="N50"/>
  <c r="R49"/>
  <c r="N49"/>
  <c r="I48"/>
  <c r="R48" s="1"/>
  <c r="N47"/>
  <c r="I47"/>
  <c r="R47" s="1"/>
  <c r="I46"/>
  <c r="H46"/>
  <c r="T45"/>
  <c r="R45"/>
  <c r="N45"/>
  <c r="T44"/>
  <c r="T51" s="1"/>
  <c r="R44"/>
  <c r="N44"/>
  <c r="U43"/>
  <c r="N43"/>
  <c r="I43"/>
  <c r="R43" s="1"/>
  <c r="H43"/>
  <c r="U42"/>
  <c r="N42"/>
  <c r="I42"/>
  <c r="H42"/>
  <c r="U41"/>
  <c r="N41"/>
  <c r="I41"/>
  <c r="H41"/>
  <c r="V40"/>
  <c r="V51" s="1"/>
  <c r="N40"/>
  <c r="I40"/>
  <c r="H40"/>
  <c r="S39"/>
  <c r="N39"/>
  <c r="I39"/>
  <c r="S38"/>
  <c r="N38"/>
  <c r="I38"/>
  <c r="S37"/>
  <c r="N37"/>
  <c r="I37"/>
  <c r="S36"/>
  <c r="N36"/>
  <c r="I36"/>
  <c r="S35"/>
  <c r="N35"/>
  <c r="I35"/>
  <c r="S33"/>
  <c r="N33"/>
  <c r="I33"/>
  <c r="S32"/>
  <c r="N32"/>
  <c r="I32"/>
  <c r="S31"/>
  <c r="N31"/>
  <c r="I31"/>
  <c r="S30"/>
  <c r="N30"/>
  <c r="I30"/>
  <c r="S29"/>
  <c r="N29"/>
  <c r="S28"/>
  <c r="N28"/>
  <c r="I28"/>
  <c r="S27"/>
  <c r="N27"/>
  <c r="I27"/>
  <c r="S26"/>
  <c r="N26"/>
  <c r="I26"/>
  <c r="S25"/>
  <c r="N25"/>
  <c r="I25"/>
  <c r="S24"/>
  <c r="N24"/>
  <c r="I24"/>
  <c r="S23"/>
  <c r="N23"/>
  <c r="I23"/>
  <c r="S22"/>
  <c r="N22"/>
  <c r="I22"/>
  <c r="R22" s="1"/>
  <c r="S21"/>
  <c r="N21"/>
  <c r="I21"/>
  <c r="S20"/>
  <c r="N20"/>
  <c r="I20"/>
  <c r="S19"/>
  <c r="N19"/>
  <c r="I19"/>
  <c r="S18"/>
  <c r="N18"/>
  <c r="I18"/>
  <c r="R18" s="1"/>
  <c r="S17"/>
  <c r="N17"/>
  <c r="I17"/>
  <c r="S16"/>
  <c r="N16"/>
  <c r="I16"/>
  <c r="S15"/>
  <c r="N15"/>
  <c r="S14"/>
  <c r="N14"/>
  <c r="I14"/>
  <c r="R14" s="1"/>
  <c r="S13"/>
  <c r="N13"/>
  <c r="I13"/>
  <c r="S12"/>
  <c r="N12"/>
  <c r="I12"/>
  <c r="S11"/>
  <c r="N11"/>
  <c r="I11"/>
  <c r="S10"/>
  <c r="N10"/>
  <c r="I10"/>
  <c r="S9"/>
  <c r="R9"/>
  <c r="O9"/>
  <c r="N9"/>
  <c r="Q9"/>
  <c r="S8"/>
  <c r="O8"/>
  <c r="N8"/>
  <c r="Q8"/>
  <c r="R7"/>
  <c r="O7"/>
  <c r="N7"/>
  <c r="Q7"/>
  <c r="R10" l="1"/>
  <c r="R13"/>
  <c r="R17"/>
  <c r="R21"/>
  <c r="R25"/>
  <c r="R29"/>
  <c r="R33"/>
  <c r="R35"/>
  <c r="R39"/>
  <c r="R11"/>
  <c r="R15"/>
  <c r="R19"/>
  <c r="R23"/>
  <c r="R27"/>
  <c r="R31"/>
  <c r="R37"/>
  <c r="N51"/>
  <c r="S51"/>
  <c r="P51"/>
  <c r="E6" i="18" s="1"/>
  <c r="R41" i="17"/>
  <c r="Q51"/>
  <c r="E10" i="18" s="1"/>
  <c r="R8" i="17"/>
  <c r="R12"/>
  <c r="R16"/>
  <c r="R20"/>
  <c r="R24"/>
  <c r="R28"/>
  <c r="R32"/>
  <c r="R36"/>
  <c r="R40"/>
  <c r="D20" i="18"/>
  <c r="D21"/>
  <c r="R26" i="17"/>
  <c r="R30"/>
  <c r="R38"/>
  <c r="R42"/>
  <c r="O51"/>
  <c r="U47"/>
  <c r="U48"/>
  <c r="O53" l="1"/>
  <c r="D17" i="18" s="1"/>
  <c r="U51" i="17"/>
  <c r="S52" s="1"/>
  <c r="R51"/>
  <c r="I3" s="1"/>
  <c r="D18" i="18" l="1"/>
  <c r="D19" s="1"/>
  <c r="D16" i="19"/>
  <c r="D19"/>
  <c r="D17"/>
  <c r="D18"/>
  <c r="D28"/>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I112" l="1"/>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J107" l="1"/>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C26" i="8"/>
  <c r="C23"/>
  <c r="C19"/>
  <c r="G2"/>
  <c r="H3"/>
  <c r="B3"/>
  <c r="E6" l="1"/>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C18" i="8" l="1"/>
  <c r="C9"/>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B7" i="8"/>
  <c r="C10" l="1"/>
  <c r="C11" l="1"/>
  <c r="G4" i="13" l="1"/>
  <c r="G4" i="14"/>
</calcChain>
</file>

<file path=xl/comments1.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comments2.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<sst xmlns="http://schemas.openxmlformats.org/spreadsheetml/2006/main" count="2229" uniqueCount="1319">
  <si>
    <t>备注</t>
    <phoneticPr fontId="3" type="noConversion"/>
  </si>
  <si>
    <t>序号</t>
    <phoneticPr fontId="3" type="noConversion"/>
  </si>
  <si>
    <t>门板封边</t>
    <phoneticPr fontId="3" type="noConversion"/>
  </si>
  <si>
    <t>单位</t>
    <phoneticPr fontId="3" type="noConversion"/>
  </si>
  <si>
    <t>单位</t>
    <phoneticPr fontId="3" type="noConversion"/>
  </si>
  <si>
    <t>数量</t>
    <phoneticPr fontId="3" type="noConversion"/>
  </si>
  <si>
    <t>下单日期：</t>
    <phoneticPr fontId="3" type="noConversion"/>
  </si>
  <si>
    <t>安装日期：</t>
    <phoneticPr fontId="3" type="noConversion"/>
  </si>
  <si>
    <t>图纸编号：</t>
    <phoneticPr fontId="3" type="noConversion"/>
  </si>
  <si>
    <t>客户姓名</t>
    <phoneticPr fontId="3" type="noConversion"/>
  </si>
  <si>
    <t>安装日期</t>
    <phoneticPr fontId="3" type="noConversion"/>
  </si>
  <si>
    <t>橱柜款式：</t>
    <phoneticPr fontId="3" type="noConversion"/>
  </si>
  <si>
    <t>配料：</t>
    <phoneticPr fontId="3" type="noConversion"/>
  </si>
  <si>
    <t>审核人：</t>
    <phoneticPr fontId="3" type="noConversion"/>
  </si>
  <si>
    <t>配料日期：</t>
    <phoneticPr fontId="3" type="noConversion"/>
  </si>
  <si>
    <t>审核日期：</t>
    <phoneticPr fontId="3" type="noConversion"/>
  </si>
  <si>
    <t>订单编号：</t>
    <phoneticPr fontId="3" type="noConversion"/>
  </si>
  <si>
    <t>下单日期</t>
    <phoneticPr fontId="3" type="noConversion"/>
  </si>
  <si>
    <t>序号</t>
    <phoneticPr fontId="3" type="noConversion"/>
  </si>
  <si>
    <t>材料名称</t>
    <phoneticPr fontId="3" type="noConversion"/>
  </si>
  <si>
    <t>数量</t>
    <phoneticPr fontId="3" type="noConversion"/>
  </si>
  <si>
    <t>米</t>
    <phoneticPr fontId="3" type="noConversion"/>
  </si>
  <si>
    <t>柜体</t>
    <phoneticPr fontId="3" type="noConversion"/>
  </si>
  <si>
    <t>项目</t>
    <phoneticPr fontId="3" type="noConversion"/>
  </si>
  <si>
    <t>型号、规格</t>
    <phoneticPr fontId="3" type="noConversion"/>
  </si>
  <si>
    <t>张</t>
    <phoneticPr fontId="3" type="noConversion"/>
  </si>
  <si>
    <t>克</t>
    <phoneticPr fontId="3" type="noConversion"/>
  </si>
  <si>
    <t>铝制踢脚板</t>
    <phoneticPr fontId="3" type="noConversion"/>
  </si>
  <si>
    <t>意德法家木业生产线工序交接单</t>
    <phoneticPr fontId="3" type="noConversion"/>
  </si>
  <si>
    <t>图纸编号:</t>
    <phoneticPr fontId="3" type="noConversion"/>
  </si>
  <si>
    <t>销售点</t>
    <phoneticPr fontId="3" type="noConversion"/>
  </si>
  <si>
    <t>设计师</t>
    <phoneticPr fontId="3" type="noConversion"/>
  </si>
  <si>
    <t>应完成日期</t>
    <phoneticPr fontId="3" type="noConversion"/>
  </si>
  <si>
    <t>实际完成日期</t>
    <phoneticPr fontId="3" type="noConversion"/>
  </si>
  <si>
    <t>产品系列</t>
    <phoneticPr fontId="3" type="noConversion"/>
  </si>
  <si>
    <t>实木</t>
    <phoneticPr fontId="3" type="noConversion"/>
  </si>
  <si>
    <t>烤漆</t>
    <phoneticPr fontId="3" type="noConversion"/>
  </si>
  <si>
    <t>吸塑</t>
    <phoneticPr fontId="3" type="noConversion"/>
  </si>
  <si>
    <t>烤漆玻璃</t>
    <phoneticPr fontId="3" type="noConversion"/>
  </si>
  <si>
    <t>三聚氢氨</t>
    <phoneticPr fontId="3" type="noConversion"/>
  </si>
  <si>
    <t>金属封边</t>
    <phoneticPr fontId="3" type="noConversion"/>
  </si>
  <si>
    <t>镶嵌拉手</t>
    <phoneticPr fontId="3" type="noConversion"/>
  </si>
  <si>
    <t>标准地柜(件)</t>
    <phoneticPr fontId="3" type="noConversion"/>
  </si>
  <si>
    <t>标准吊柜(件)</t>
    <phoneticPr fontId="3" type="noConversion"/>
  </si>
  <si>
    <t>顶线</t>
    <phoneticPr fontId="3" type="noConversion"/>
  </si>
  <si>
    <t>开槽(件)</t>
    <phoneticPr fontId="3" type="noConversion"/>
  </si>
  <si>
    <t>单管防撞条</t>
    <phoneticPr fontId="3" type="noConversion"/>
  </si>
  <si>
    <t>灯线</t>
    <phoneticPr fontId="3" type="noConversion"/>
  </si>
  <si>
    <t>工序名称</t>
    <phoneticPr fontId="3" type="noConversion"/>
  </si>
  <si>
    <t>成品数量</t>
    <phoneticPr fontId="3" type="noConversion"/>
  </si>
  <si>
    <t>完成日期</t>
    <phoneticPr fontId="3" type="noConversion"/>
  </si>
  <si>
    <t>接料日期</t>
    <phoneticPr fontId="3" type="noConversion"/>
  </si>
  <si>
    <t>主机手</t>
    <phoneticPr fontId="3" type="noConversion"/>
  </si>
  <si>
    <t>质检</t>
    <phoneticPr fontId="3" type="noConversion"/>
  </si>
  <si>
    <t>下料</t>
    <phoneticPr fontId="3" type="noConversion"/>
  </si>
  <si>
    <t>封边</t>
    <phoneticPr fontId="3" type="noConversion"/>
  </si>
  <si>
    <t>排钻</t>
    <phoneticPr fontId="3" type="noConversion"/>
  </si>
  <si>
    <t>层板铝扣条</t>
    <phoneticPr fontId="3" type="noConversion"/>
  </si>
  <si>
    <t>T型铝封边</t>
    <phoneticPr fontId="3" type="noConversion"/>
  </si>
  <si>
    <t>通常铝拉手</t>
    <phoneticPr fontId="3" type="noConversion"/>
  </si>
  <si>
    <t>铣形</t>
    <phoneticPr fontId="3" type="noConversion"/>
  </si>
  <si>
    <t>异形封边</t>
    <phoneticPr fontId="3" type="noConversion"/>
  </si>
  <si>
    <t>组装</t>
    <phoneticPr fontId="3" type="noConversion"/>
  </si>
  <si>
    <t>拉蓝</t>
    <phoneticPr fontId="3" type="noConversion"/>
  </si>
  <si>
    <t>小怪物</t>
    <phoneticPr fontId="3" type="noConversion"/>
  </si>
  <si>
    <t>铝框门</t>
    <phoneticPr fontId="3" type="noConversion"/>
  </si>
  <si>
    <t>上翻平移门</t>
    <phoneticPr fontId="3" type="noConversion"/>
  </si>
  <si>
    <t>门铰</t>
    <phoneticPr fontId="3" type="noConversion"/>
  </si>
  <si>
    <t>门板倒角</t>
    <phoneticPr fontId="3" type="noConversion"/>
  </si>
  <si>
    <t>铝百叶</t>
    <phoneticPr fontId="3" type="noConversion"/>
  </si>
  <si>
    <t>水灶柜铝梁</t>
    <phoneticPr fontId="3" type="noConversion"/>
  </si>
  <si>
    <t>按玻璃</t>
    <phoneticPr fontId="3" type="noConversion"/>
  </si>
  <si>
    <t>烤漆玻璃喷花</t>
    <phoneticPr fontId="3" type="noConversion"/>
  </si>
  <si>
    <t>扣手</t>
    <phoneticPr fontId="3" type="noConversion"/>
  </si>
  <si>
    <t>打包</t>
    <phoneticPr fontId="3" type="noConversion"/>
  </si>
  <si>
    <t>车间负责人签字:</t>
    <phoneticPr fontId="3" type="noConversion"/>
  </si>
  <si>
    <t>工艺员：</t>
    <phoneticPr fontId="3" type="noConversion"/>
  </si>
  <si>
    <t>1套</t>
    <phoneticPr fontId="3" type="noConversion"/>
  </si>
  <si>
    <t>厨柜柜体半成品板件领料单</t>
    <phoneticPr fontId="3" type="noConversion"/>
  </si>
  <si>
    <t>订单编号</t>
    <phoneticPr fontId="23" type="noConversion"/>
  </si>
  <si>
    <t>客户名称</t>
    <phoneticPr fontId="23" type="noConversion"/>
  </si>
  <si>
    <t>下单时间</t>
    <phoneticPr fontId="23" type="noConversion"/>
  </si>
  <si>
    <t>产品款式</t>
    <phoneticPr fontId="23" type="noConversion"/>
  </si>
  <si>
    <t>设计名称</t>
    <phoneticPr fontId="23" type="noConversion"/>
  </si>
  <si>
    <t>安装时间</t>
    <phoneticPr fontId="23" type="noConversion"/>
  </si>
  <si>
    <t>图   例</t>
    <phoneticPr fontId="3" type="noConversion"/>
  </si>
  <si>
    <t>物料描述</t>
    <phoneticPr fontId="3" type="noConversion"/>
  </si>
  <si>
    <t>柜体规格</t>
    <phoneticPr fontId="3" type="noConversion"/>
  </si>
  <si>
    <t>柜体数量</t>
    <phoneticPr fontId="23" type="noConversion"/>
  </si>
  <si>
    <t>板件信息(16A暖白双帖三聚氰胺刨花板M11)</t>
    <phoneticPr fontId="3" type="noConversion"/>
  </si>
  <si>
    <t>计划备货数量</t>
    <phoneticPr fontId="3" type="noConversion"/>
  </si>
  <si>
    <t>板件信息(M12)</t>
    <phoneticPr fontId="3" type="noConversion"/>
  </si>
  <si>
    <r>
      <t>板材用量（m</t>
    </r>
    <r>
      <rPr>
        <b/>
        <vertAlign val="superscript"/>
        <sz val="10"/>
        <color indexed="8"/>
        <rFont val="宋体"/>
        <family val="3"/>
        <charset val="134"/>
      </rPr>
      <t>2</t>
    </r>
    <r>
      <rPr>
        <b/>
        <sz val="10"/>
        <color indexed="8"/>
        <rFont val="宋体"/>
        <family val="3"/>
        <charset val="134"/>
      </rPr>
      <t>）</t>
    </r>
    <phoneticPr fontId="3" type="noConversion"/>
  </si>
  <si>
    <t>封边条总用量（m）</t>
    <phoneticPr fontId="3" type="noConversion"/>
  </si>
  <si>
    <t>1.0封边条用量（m）</t>
    <phoneticPr fontId="3" type="noConversion"/>
  </si>
  <si>
    <t>0.4封边条用量（m）</t>
    <phoneticPr fontId="23" type="noConversion"/>
  </si>
  <si>
    <t>三合一</t>
    <phoneticPr fontId="23"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</si>
  <si>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3" type="noConversion"/>
  </si>
  <si>
    <r>
      <t>0</t>
    </r>
    <r>
      <rPr>
        <sz val="10"/>
        <color indexed="8"/>
        <rFont val="宋体"/>
        <family val="3"/>
        <charset val="134"/>
      </rPr>
      <t>/唯一  1/重复</t>
    </r>
    <phoneticPr fontId="3" type="noConversion"/>
  </si>
  <si>
    <t>宽(mm)</t>
    <phoneticPr fontId="3" type="noConversion"/>
  </si>
  <si>
    <t>深(mm)</t>
    <phoneticPr fontId="3" type="noConversion"/>
  </si>
  <si>
    <t>高(mm)</t>
    <phoneticPr fontId="3" type="noConversion"/>
  </si>
  <si>
    <t>物料编码</t>
    <phoneticPr fontId="3" type="noConversion"/>
  </si>
  <si>
    <t>柜体</t>
    <phoneticPr fontId="3" type="noConversion"/>
  </si>
  <si>
    <t>板件</t>
    <phoneticPr fontId="3" type="noConversion"/>
  </si>
  <si>
    <t>单门地柜</t>
    <phoneticPr fontId="23" type="noConversion"/>
  </si>
  <si>
    <t>KZL56072016_AM11</t>
    <phoneticPr fontId="3" type="noConversion"/>
  </si>
  <si>
    <t>560*720*16左侧板A_M11</t>
    <phoneticPr fontId="23" type="noConversion"/>
  </si>
  <si>
    <t>KZL56072016_AM12</t>
  </si>
  <si>
    <t>560*720*16左侧板A_M12</t>
  </si>
  <si>
    <t>450宽三抽地柜</t>
    <phoneticPr fontId="3" type="noConversion"/>
  </si>
  <si>
    <t>M11</t>
    <phoneticPr fontId="3" type="noConversion"/>
  </si>
  <si>
    <t>KZR56072016_AM11</t>
  </si>
  <si>
    <t>560*720*16右侧板A_M11</t>
  </si>
  <si>
    <t>KZR56072016_AM12</t>
  </si>
  <si>
    <t>560*720*16右侧板A_M12</t>
  </si>
  <si>
    <t>600宽内嵌烤箱/消毒柜下装饰板地柜</t>
    <phoneticPr fontId="3" type="noConversion"/>
  </si>
  <si>
    <t>900宽双门水盆地柜</t>
    <phoneticPr fontId="3" type="noConversion"/>
  </si>
  <si>
    <t>KZD56041816AM11</t>
  </si>
  <si>
    <t>560*417*16底板A_M11</t>
  </si>
  <si>
    <t>KZD56041816AM12</t>
  </si>
  <si>
    <t>560*417*16底板A_M12</t>
  </si>
  <si>
    <t>300宽单抽拉篮地柜</t>
    <phoneticPr fontId="3" type="noConversion"/>
  </si>
  <si>
    <t>900宽双门吊柜（含玻璃门）</t>
    <phoneticPr fontId="3" type="noConversion"/>
  </si>
  <si>
    <t>K_C47841716AM11</t>
  </si>
  <si>
    <t>514*416*16层板A_M11</t>
  </si>
  <si>
    <t>K_C47841716AM12</t>
  </si>
  <si>
    <t>514*416*16层板A_M12</t>
  </si>
  <si>
    <t>450宽单门吊柜（含玻璃门）</t>
    <phoneticPr fontId="3" type="noConversion"/>
  </si>
  <si>
    <t>K_B71043003AM11</t>
  </si>
  <si>
    <t>708*428*3背板A_M11</t>
  </si>
  <si>
    <t>K_B71043003AM12</t>
  </si>
  <si>
    <t>708*428*3背板A_M12</t>
  </si>
  <si>
    <t>450宽单门地柜</t>
    <phoneticPr fontId="3" type="noConversion"/>
  </si>
  <si>
    <t>KZJ08841816AM11</t>
  </si>
  <si>
    <t>88*417*16结构板A_M11</t>
  </si>
  <si>
    <t>KZJ08841816AM12</t>
  </si>
  <si>
    <t>88*417*16结构板A_M12</t>
  </si>
  <si>
    <t>600宽单门吊柜（含玻璃门）</t>
    <phoneticPr fontId="3" type="noConversion"/>
  </si>
  <si>
    <t>三抽屉地柜</t>
    <phoneticPr fontId="3" type="noConversion"/>
  </si>
  <si>
    <t>KZL56072016CAM11</t>
  </si>
  <si>
    <t>560*720*16抽屉柜左侧板A_M11</t>
  </si>
  <si>
    <t>KZL56072016CAM12</t>
  </si>
  <si>
    <t>560*720*16抽屉柜左侧板A_M12</t>
  </si>
  <si>
    <t>150宽单抽拉篮地柜</t>
    <phoneticPr fontId="3" type="noConversion"/>
  </si>
  <si>
    <t>KZR56072016CAM11</t>
  </si>
  <si>
    <t>560*720*16抽屉柜右侧板A_M11</t>
  </si>
  <si>
    <t>KZR56072016CAM12</t>
  </si>
  <si>
    <t>560*720*16抽屉柜右侧板A_M12</t>
  </si>
  <si>
    <t>600宽三抽地柜</t>
    <phoneticPr fontId="3"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</si>
  <si>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</si>
  <si>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</si>
  <si>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</si>
  <si>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</si>
  <si>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</si>
  <si>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</si>
  <si>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</si>
  <si>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</si>
  <si>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</si>
  <si>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</si>
  <si>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</si>
  <si>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</si>
  <si>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3"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</si>
  <si>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</si>
  <si>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</si>
  <si>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</si>
  <si>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</si>
  <si>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</si>
  <si>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</si>
  <si>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</si>
  <si>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</si>
  <si>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</si>
  <si>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</si>
  <si>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</si>
  <si>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</si>
  <si>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</si>
  <si>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</si>
  <si>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</si>
  <si>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</si>
  <si>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3"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</si>
  <si>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</si>
  <si>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</si>
  <si>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</si>
  <si>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</si>
  <si>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</si>
  <si>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</si>
  <si>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</si>
  <si>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</si>
  <si>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</si>
  <si>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</si>
  <si>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</si>
  <si>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</si>
  <si>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</si>
  <si>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</si>
  <si>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</si>
  <si>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</si>
  <si>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3"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</si>
  <si>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</si>
  <si>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</si>
  <si>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</si>
  <si>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</si>
  <si>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</si>
  <si>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</si>
  <si>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</si>
  <si>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</si>
  <si>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</si>
  <si>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</si>
  <si>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</si>
  <si>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</si>
  <si>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</si>
  <si>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</si>
  <si>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</si>
  <si>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</si>
  <si>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</si>
  <si>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</si>
  <si>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</si>
  <si>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</si>
  <si>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</si>
  <si>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</si>
  <si>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</si>
  <si>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</si>
  <si>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</si>
  <si>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</si>
  <si>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</si>
  <si>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</si>
  <si>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</si>
  <si>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</si>
  <si>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</si>
  <si>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</si>
  <si>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</si>
  <si>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</si>
  <si>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</si>
  <si>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</si>
  <si>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</si>
  <si>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</si>
  <si>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</si>
  <si>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</si>
  <si>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</si>
  <si>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</si>
  <si>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</si>
  <si>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</si>
  <si>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</si>
  <si>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</si>
  <si>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</si>
  <si>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</si>
  <si>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</si>
  <si>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</si>
  <si>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</si>
  <si>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</si>
  <si>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</si>
  <si>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</si>
  <si>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</si>
  <si>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</si>
  <si>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</si>
  <si>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</si>
  <si>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</si>
  <si>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</si>
  <si>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</si>
  <si>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</si>
  <si>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</si>
  <si>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</si>
  <si>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</si>
  <si>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</si>
  <si>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</si>
  <si>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</si>
  <si>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</si>
  <si>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</si>
  <si>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3"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</si>
  <si>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</si>
  <si>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</si>
  <si>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</si>
  <si>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</si>
  <si>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</si>
  <si>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</si>
  <si>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</si>
  <si>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</si>
  <si>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</si>
  <si>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</si>
  <si>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</si>
  <si>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</si>
  <si>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</si>
  <si>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</si>
  <si>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</si>
  <si>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</si>
  <si>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</si>
  <si>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</si>
  <si>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</si>
  <si>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</si>
  <si>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KZL56072016_AM11</t>
  </si>
  <si>
    <t>560*720*16左侧板A_M11</t>
  </si>
  <si>
    <t>K_C47826716AM11</t>
  </si>
  <si>
    <t>514*266*16层板A_M11</t>
  </si>
  <si>
    <t>K_C47856716AM11</t>
  </si>
  <si>
    <t>514*566*16层板A_M11</t>
  </si>
  <si>
    <t>对开门地柜</t>
    <phoneticPr fontId="23"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</si>
  <si>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</si>
  <si>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</si>
  <si>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</si>
  <si>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</si>
  <si>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</si>
  <si>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</si>
  <si>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</si>
  <si>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</si>
  <si>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</si>
  <si>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</si>
  <si>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</si>
  <si>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</si>
  <si>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</si>
  <si>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</si>
  <si>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3" type="noConversion"/>
  </si>
  <si>
    <t>KZL30072016FAM11</t>
  </si>
  <si>
    <t>300*720*16双上翻门左侧板A_M11</t>
  </si>
  <si>
    <t>KZR30072016FAM11</t>
  </si>
  <si>
    <t>300*720*16双上翻门右侧板A_M11</t>
  </si>
  <si>
    <t>KZT27886816BM11</t>
  </si>
  <si>
    <t>277*867*16顶板B_M11</t>
  </si>
  <si>
    <t>拆解人：</t>
    <phoneticPr fontId="19" type="noConversion"/>
  </si>
  <si>
    <t>审核人：</t>
    <phoneticPr fontId="19" type="noConversion"/>
  </si>
  <si>
    <t>兰天</t>
    <phoneticPr fontId="3" type="noConversion"/>
  </si>
  <si>
    <t>单门吊柜（含玻璃门）</t>
    <phoneticPr fontId="23" type="noConversion"/>
  </si>
  <si>
    <t>单门吊柜</t>
    <phoneticPr fontId="23" type="noConversion"/>
  </si>
  <si>
    <t>对开门吊柜</t>
    <phoneticPr fontId="3" type="noConversion"/>
  </si>
  <si>
    <t>瓶</t>
    <phoneticPr fontId="3" type="noConversion"/>
  </si>
  <si>
    <t xml:space="preserve">               北京意德法家木业有限公司包装材料单 （本地包装）  </t>
    <phoneticPr fontId="3" type="noConversion"/>
  </si>
  <si>
    <t>城市：</t>
    <phoneticPr fontId="3" type="noConversion"/>
  </si>
  <si>
    <t>宽</t>
    <phoneticPr fontId="3" type="noConversion"/>
  </si>
  <si>
    <t>高</t>
    <phoneticPr fontId="3" type="noConversion"/>
  </si>
  <si>
    <t>柜型</t>
    <phoneticPr fontId="3" type="noConversion"/>
  </si>
  <si>
    <t>柜体数量</t>
    <phoneticPr fontId="3" type="noConversion"/>
  </si>
  <si>
    <t>用量</t>
    <phoneticPr fontId="3" type="noConversion"/>
  </si>
  <si>
    <t>备注</t>
    <phoneticPr fontId="3" type="noConversion"/>
  </si>
  <si>
    <t>≤150</t>
    <phoneticPr fontId="23" type="noConversion"/>
  </si>
  <si>
    <t>地柜</t>
    <phoneticPr fontId="23" type="noConversion"/>
  </si>
  <si>
    <t>150宽柜体门板扣盖</t>
  </si>
  <si>
    <t>只</t>
  </si>
  <si>
    <t>2MM厚EPE保护膜（1150宽）</t>
    <phoneticPr fontId="23" type="noConversion"/>
  </si>
  <si>
    <t>米</t>
  </si>
  <si>
    <t>151-450</t>
    <phoneticPr fontId="23" type="noConversion"/>
  </si>
  <si>
    <t>吊/地柜</t>
    <phoneticPr fontId="23" type="noConversion"/>
  </si>
  <si>
    <t>300-450宽柜体门板扣盖</t>
    <phoneticPr fontId="3" type="noConversion"/>
  </si>
  <si>
    <t>平板苯板（10mm厚苯板）2000*10*1000</t>
    <phoneticPr fontId="3" type="noConversion"/>
  </si>
  <si>
    <t>张</t>
    <phoneticPr fontId="23" type="noConversion"/>
  </si>
  <si>
    <t>玻璃门板用</t>
    <phoneticPr fontId="23" type="noConversion"/>
  </si>
  <si>
    <t>451-600</t>
    <phoneticPr fontId="23" type="noConversion"/>
  </si>
  <si>
    <t>500-600宽柜体门板扣盖</t>
    <phoneticPr fontId="3" type="noConversion"/>
  </si>
  <si>
    <t>601-900</t>
    <phoneticPr fontId="23" type="noConversion"/>
  </si>
  <si>
    <t>800-900宽柜体门板扣盖</t>
    <phoneticPr fontId="3" type="noConversion"/>
  </si>
  <si>
    <t>901-1200</t>
    <phoneticPr fontId="23" type="noConversion"/>
  </si>
  <si>
    <t>1000-1200宽柜体门板扣盖</t>
    <phoneticPr fontId="3" type="noConversion"/>
  </si>
  <si>
    <t>半高柜</t>
    <phoneticPr fontId="23" type="noConversion"/>
  </si>
  <si>
    <t>450-600</t>
    <phoneticPr fontId="23" type="noConversion"/>
  </si>
  <si>
    <t>高柜</t>
    <phoneticPr fontId="23" type="noConversion"/>
  </si>
  <si>
    <t>600-2160宽柜体门板扣盖</t>
    <phoneticPr fontId="3" type="noConversion"/>
  </si>
  <si>
    <t>背板、层板、踢脚板、顶线、罗马柱、装饰板类</t>
    <phoneticPr fontId="3" type="noConversion"/>
  </si>
  <si>
    <t>图兰朵</t>
    <phoneticPr fontId="3" type="noConversion"/>
  </si>
  <si>
    <t>1--10个</t>
    <phoneticPr fontId="3" type="noConversion"/>
  </si>
  <si>
    <t>包装纸板1500mm*2400mm</t>
    <phoneticPr fontId="3" type="noConversion"/>
  </si>
  <si>
    <t>张</t>
  </si>
  <si>
    <t>米</t>
    <phoneticPr fontId="23" type="noConversion"/>
  </si>
  <si>
    <t>平板苯板（10mm厚苯板）1900*10*400</t>
    <phoneticPr fontId="3" type="noConversion"/>
  </si>
  <si>
    <t>个</t>
    <phoneticPr fontId="23" type="noConversion"/>
  </si>
  <si>
    <t>L型苯板护角（15mm厚）120*1000*120</t>
    <phoneticPr fontId="3" type="noConversion"/>
  </si>
  <si>
    <t>根</t>
    <phoneticPr fontId="23" type="noConversion"/>
  </si>
  <si>
    <t>罗马柱顶线用</t>
    <phoneticPr fontId="23" type="noConversion"/>
  </si>
  <si>
    <t>11个以上</t>
    <phoneticPr fontId="3" type="noConversion"/>
  </si>
  <si>
    <t xml:space="preserve">               北京意德法家木业有限公司包装材料单 （外地包装）  </t>
    <phoneticPr fontId="3" type="noConversion"/>
  </si>
  <si>
    <t>订单编号：</t>
    <phoneticPr fontId="3" type="noConversion"/>
  </si>
  <si>
    <t>城市：</t>
    <phoneticPr fontId="3" type="noConversion"/>
  </si>
  <si>
    <t>客户姓名</t>
    <phoneticPr fontId="3" type="noConversion"/>
  </si>
  <si>
    <t>下单日期</t>
    <phoneticPr fontId="3" type="noConversion"/>
  </si>
  <si>
    <t>橱柜款式：</t>
    <phoneticPr fontId="3" type="noConversion"/>
  </si>
  <si>
    <t>安装日期</t>
    <phoneticPr fontId="3" type="noConversion"/>
  </si>
  <si>
    <t>序号</t>
    <phoneticPr fontId="3" type="noConversion"/>
  </si>
  <si>
    <t>宽</t>
    <phoneticPr fontId="3" type="noConversion"/>
  </si>
  <si>
    <t>高</t>
    <phoneticPr fontId="3" type="noConversion"/>
  </si>
  <si>
    <t>柜型</t>
    <phoneticPr fontId="3" type="noConversion"/>
  </si>
  <si>
    <t>柜体数量</t>
    <phoneticPr fontId="3" type="noConversion"/>
  </si>
  <si>
    <t>材料名称</t>
    <phoneticPr fontId="3" type="noConversion"/>
  </si>
  <si>
    <t>用量</t>
    <phoneticPr fontId="3" type="noConversion"/>
  </si>
  <si>
    <t>单位</t>
    <phoneticPr fontId="3" type="noConversion"/>
  </si>
  <si>
    <t>备注</t>
    <phoneticPr fontId="3" type="noConversion"/>
  </si>
  <si>
    <t>300    450    600</t>
    <phoneticPr fontId="3" type="noConversion"/>
  </si>
  <si>
    <t>地柜</t>
    <phoneticPr fontId="23" type="noConversion"/>
  </si>
  <si>
    <t>600宽地柜一片成型包装箱</t>
    <phoneticPr fontId="23" type="noConversion"/>
  </si>
  <si>
    <t>个</t>
    <phoneticPr fontId="23" type="noConversion"/>
  </si>
  <si>
    <t>2MM厚EPE保护膜（1150宽）</t>
    <phoneticPr fontId="23" type="noConversion"/>
  </si>
  <si>
    <t>平板苯板（10mm厚苯板）1900*10*400</t>
    <phoneticPr fontId="23" type="noConversion"/>
  </si>
  <si>
    <t>张</t>
    <phoneticPr fontId="23" type="noConversion"/>
  </si>
  <si>
    <t>小护角</t>
    <phoneticPr fontId="23" type="noConversion"/>
  </si>
  <si>
    <t>900宽地柜一片成型包装箱</t>
    <phoneticPr fontId="23" type="noConversion"/>
  </si>
  <si>
    <t>小护角</t>
    <phoneticPr fontId="23" type="noConversion"/>
  </si>
  <si>
    <t>1200宽地柜一片成型包装箱</t>
    <phoneticPr fontId="23" type="noConversion"/>
  </si>
  <si>
    <t>吊柜</t>
    <phoneticPr fontId="23" type="noConversion"/>
  </si>
  <si>
    <t>600宽吊柜一片成型包装箱</t>
    <phoneticPr fontId="23" type="noConversion"/>
  </si>
  <si>
    <t>只</t>
    <phoneticPr fontId="23" type="noConversion"/>
  </si>
  <si>
    <t>900宽吊柜一片成型包装箱</t>
    <phoneticPr fontId="23" type="noConversion"/>
  </si>
  <si>
    <t>1200宽地柜柜一片成型包装箱</t>
    <phoneticPr fontId="23" type="noConversion"/>
  </si>
  <si>
    <t>450    600</t>
    <phoneticPr fontId="3" type="noConversion"/>
  </si>
  <si>
    <t>半高柜</t>
    <phoneticPr fontId="23" type="noConversion"/>
  </si>
  <si>
    <t>包装纸板1500mm*2400mm</t>
    <phoneticPr fontId="23" type="noConversion"/>
  </si>
  <si>
    <t>含门板包装材料</t>
    <phoneticPr fontId="3" type="noConversion"/>
  </si>
  <si>
    <t>小护角（整件时使用大护角）</t>
    <phoneticPr fontId="23" type="noConversion"/>
  </si>
  <si>
    <t>高柜</t>
    <phoneticPr fontId="23" type="noConversion"/>
  </si>
  <si>
    <t>600*2160高柜一片成型包装箱</t>
    <phoneticPr fontId="23" type="noConversion"/>
  </si>
  <si>
    <t>外地整包包装（抽屉柜、拉篮柜）</t>
    <phoneticPr fontId="3" type="noConversion"/>
  </si>
  <si>
    <t>拉篮柜</t>
    <phoneticPr fontId="3" type="noConversion"/>
  </si>
  <si>
    <t>150宽拉篮柜对口包装箱</t>
  </si>
  <si>
    <t>大护角</t>
    <phoneticPr fontId="23" type="noConversion"/>
  </si>
  <si>
    <t>拉篮柜
抽屉柜</t>
    <phoneticPr fontId="3" type="noConversion"/>
  </si>
  <si>
    <t>600宽拉篮、抽屉柜对口箱</t>
  </si>
  <si>
    <t>平板苯板（10mm厚苯板）2000*10*1000</t>
    <phoneticPr fontId="23" type="noConversion"/>
  </si>
  <si>
    <t>玻璃门板用</t>
    <phoneticPr fontId="23" type="noConversion"/>
  </si>
  <si>
    <t>900宽拉篮、抽屉柜对口箱</t>
  </si>
  <si>
    <t>外地门板</t>
    <phoneticPr fontId="23" type="noConversion"/>
  </si>
  <si>
    <t>297     447</t>
    <phoneticPr fontId="3" type="noConversion"/>
  </si>
  <si>
    <t>450宽门板一片成型包装箱</t>
    <phoneticPr fontId="23" type="noConversion"/>
  </si>
  <si>
    <t>4块门板一包</t>
    <phoneticPr fontId="3" type="noConversion"/>
  </si>
  <si>
    <t>600宽门板一片成型包装箱</t>
    <phoneticPr fontId="23" type="noConversion"/>
  </si>
  <si>
    <t>上翻门600宽门板一片成型包装箱</t>
    <phoneticPr fontId="23" type="noConversion"/>
  </si>
  <si>
    <t>个</t>
    <phoneticPr fontId="23" type="noConversion"/>
  </si>
  <si>
    <t>4块门板一包</t>
    <phoneticPr fontId="3" type="noConversion"/>
  </si>
  <si>
    <t>2MM厚EPE保护膜（1150宽）</t>
    <phoneticPr fontId="23" type="noConversion"/>
  </si>
  <si>
    <t>平板苯板（10mm厚苯板）1900*10*400</t>
    <phoneticPr fontId="23" type="noConversion"/>
  </si>
  <si>
    <t>小护角</t>
    <phoneticPr fontId="23" type="noConversion"/>
  </si>
  <si>
    <t>上翻门900宽门板一片成型包装箱</t>
    <phoneticPr fontId="23" type="noConversion"/>
  </si>
  <si>
    <t>背板、层板、踢脚板、顶线、罗马柱、装饰板类</t>
    <phoneticPr fontId="3" type="noConversion"/>
  </si>
  <si>
    <t>图兰朵</t>
    <phoneticPr fontId="3" type="noConversion"/>
  </si>
  <si>
    <t>柜体数量</t>
    <phoneticPr fontId="3" type="noConversion"/>
  </si>
  <si>
    <t>1--10个</t>
    <phoneticPr fontId="3" type="noConversion"/>
  </si>
  <si>
    <t>包装纸板1500mm*2400mm</t>
    <phoneticPr fontId="23" type="noConversion"/>
  </si>
  <si>
    <t>米</t>
    <phoneticPr fontId="23" type="noConversion"/>
  </si>
  <si>
    <t>L型苯板护角（15mm厚）120*1000*120</t>
    <phoneticPr fontId="23" type="noConversion"/>
  </si>
  <si>
    <t>根</t>
    <phoneticPr fontId="23" type="noConversion"/>
  </si>
  <si>
    <t>罗马柱顶线用</t>
    <phoneticPr fontId="23" type="noConversion"/>
  </si>
  <si>
    <t>11个以上</t>
    <phoneticPr fontId="3" type="noConversion"/>
  </si>
  <si>
    <t>张</t>
    <phoneticPr fontId="23" type="noConversion"/>
  </si>
  <si>
    <t>外地非标柜</t>
    <phoneticPr fontId="23" type="noConversion"/>
  </si>
  <si>
    <t>所有无法使用包装箱的地柜</t>
    <phoneticPr fontId="23" type="noConversion"/>
  </si>
  <si>
    <t>非标地柜</t>
    <phoneticPr fontId="23" type="noConversion"/>
  </si>
  <si>
    <t>此处包装材料用量中已包含非标柜的柜体和门板包装</t>
    <phoneticPr fontId="23" type="noConversion"/>
  </si>
  <si>
    <t>小护角（整件时使用大护角）</t>
    <phoneticPr fontId="23" type="noConversion"/>
  </si>
  <si>
    <t>所有无法使用包装箱的吊柜</t>
    <phoneticPr fontId="23" type="noConversion"/>
  </si>
  <si>
    <t>非标吊柜</t>
    <phoneticPr fontId="23" type="noConversion"/>
  </si>
  <si>
    <t>所有无法使用包装箱的半高柜、高柜</t>
    <phoneticPr fontId="23" type="noConversion"/>
  </si>
  <si>
    <t>非标半高柜、高柜</t>
    <phoneticPr fontId="23" type="noConversion"/>
  </si>
  <si>
    <t>版本型录号</t>
    <phoneticPr fontId="3" type="noConversion"/>
  </si>
  <si>
    <t>本地非标柜</t>
    <phoneticPr fontId="23" type="noConversion"/>
  </si>
  <si>
    <t>个</t>
    <phoneticPr fontId="32" type="noConversion"/>
  </si>
  <si>
    <t>本地衣帽间180高护角240*360</t>
    <phoneticPr fontId="23" type="noConversion"/>
  </si>
  <si>
    <t>本地衣帽间180高护角240*360</t>
    <phoneticPr fontId="23" type="noConversion"/>
  </si>
  <si>
    <t>热熔胶</t>
    <phoneticPr fontId="3" type="noConversion"/>
  </si>
  <si>
    <t>城市</t>
    <phoneticPr fontId="3" type="noConversion"/>
  </si>
  <si>
    <t>款式</t>
    <phoneticPr fontId="3" type="noConversion"/>
  </si>
  <si>
    <t>8803A</t>
  </si>
  <si>
    <t>版本型录号</t>
  </si>
  <si>
    <t>版本型录号</t>
    <phoneticPr fontId="46" type="noConversion"/>
  </si>
  <si>
    <t>应完成日期</t>
    <phoneticPr fontId="46" type="noConversion"/>
  </si>
  <si>
    <t>暖白玻璃压条</t>
  </si>
  <si>
    <t>说明</t>
    <phoneticPr fontId="46" type="noConversion"/>
  </si>
  <si>
    <t>下料尺寸</t>
    <phoneticPr fontId="46" type="noConversion"/>
  </si>
  <si>
    <t>箱体序号</t>
    <phoneticPr fontId="46" type="noConversion"/>
  </si>
  <si>
    <t>宽度</t>
  </si>
  <si>
    <t>高度</t>
    <phoneticPr fontId="46" type="noConversion"/>
  </si>
  <si>
    <t>数量</t>
    <phoneticPr fontId="46" type="noConversion"/>
  </si>
  <si>
    <t>宽度</t>
    <phoneticPr fontId="46" type="noConversion"/>
  </si>
  <si>
    <t>门板吸塑胶</t>
    <phoneticPr fontId="46" type="noConversion"/>
  </si>
  <si>
    <t>罗马柱础吸塑胶</t>
    <phoneticPr fontId="46" type="noConversion"/>
  </si>
  <si>
    <t>罗马柱吸塑胶</t>
    <phoneticPr fontId="46" type="noConversion"/>
  </si>
  <si>
    <t>踢脚板</t>
    <phoneticPr fontId="46" type="noConversion"/>
  </si>
  <si>
    <t>平板无刀型</t>
    <phoneticPr fontId="46" type="noConversion"/>
  </si>
  <si>
    <t>罗马柱</t>
    <phoneticPr fontId="46" type="noConversion"/>
  </si>
  <si>
    <t>25A</t>
    <phoneticPr fontId="46" type="noConversion"/>
  </si>
  <si>
    <t>罗马柱础</t>
    <phoneticPr fontId="46" type="noConversion"/>
  </si>
  <si>
    <t>罗马柱小方块</t>
    <phoneticPr fontId="46" type="noConversion"/>
  </si>
  <si>
    <t>一个罗马柱两个</t>
    <phoneticPr fontId="46" type="noConversion"/>
  </si>
  <si>
    <t>顶线</t>
    <phoneticPr fontId="46" type="noConversion"/>
  </si>
  <si>
    <t>18A</t>
    <phoneticPr fontId="46" type="noConversion"/>
  </si>
  <si>
    <t>说明：按照2012新工艺铣型</t>
    <phoneticPr fontId="46" type="noConversion"/>
  </si>
  <si>
    <t>宽</t>
    <phoneticPr fontId="46" type="noConversion"/>
  </si>
  <si>
    <t>高</t>
    <phoneticPr fontId="46" type="noConversion"/>
  </si>
  <si>
    <t>平米</t>
    <phoneticPr fontId="46" type="noConversion"/>
  </si>
  <si>
    <t>客户姓名</t>
    <phoneticPr fontId="46" type="noConversion"/>
  </si>
  <si>
    <t>项目</t>
    <phoneticPr fontId="46" type="noConversion"/>
  </si>
  <si>
    <t>序号</t>
    <phoneticPr fontId="46" type="noConversion"/>
  </si>
  <si>
    <t>单位</t>
    <phoneticPr fontId="46" type="noConversion"/>
  </si>
  <si>
    <t>门板顶线罗马柱</t>
    <phoneticPr fontId="46" type="noConversion"/>
  </si>
  <si>
    <t>张</t>
    <phoneticPr fontId="46" type="noConversion"/>
  </si>
  <si>
    <t>门板辅助材料</t>
    <phoneticPr fontId="46" type="noConversion"/>
  </si>
  <si>
    <t>克</t>
    <phoneticPr fontId="46" type="noConversion"/>
  </si>
  <si>
    <t>玻璃</t>
    <phoneticPr fontId="46" type="noConversion"/>
  </si>
  <si>
    <t>顶线半成品</t>
    <phoneticPr fontId="46" type="noConversion"/>
  </si>
  <si>
    <t>根</t>
    <phoneticPr fontId="46" type="noConversion"/>
  </si>
  <si>
    <t>米</t>
    <phoneticPr fontId="46" type="noConversion"/>
  </si>
  <si>
    <t>罗马柱头半成品</t>
    <phoneticPr fontId="46" type="noConversion"/>
  </si>
  <si>
    <t>个</t>
    <phoneticPr fontId="46" type="noConversion"/>
  </si>
  <si>
    <t>门板生产加工单（自加工）</t>
    <phoneticPr fontId="3" type="noConversion"/>
  </si>
  <si>
    <t>客户姓名：</t>
    <phoneticPr fontId="3" type="noConversion"/>
  </si>
  <si>
    <t>总数量：</t>
    <phoneticPr fontId="3" type="noConversion"/>
  </si>
  <si>
    <t>亚马逊</t>
    <phoneticPr fontId="3" type="noConversion"/>
  </si>
  <si>
    <t>门板描述：</t>
    <phoneticPr fontId="3" type="noConversion"/>
  </si>
  <si>
    <t>M11暖白+2.0*22暖白PVC</t>
  </si>
  <si>
    <t>左岸都市II</t>
    <phoneticPr fontId="3" type="noConversion"/>
  </si>
  <si>
    <t>PVC</t>
    <phoneticPr fontId="3" type="noConversion"/>
  </si>
  <si>
    <t>3+1</t>
    <phoneticPr fontId="3" type="noConversion"/>
  </si>
  <si>
    <t>简爱I</t>
    <phoneticPr fontId="3" type="noConversion"/>
  </si>
  <si>
    <t>说明</t>
    <phoneticPr fontId="3" type="noConversion"/>
  </si>
  <si>
    <t>成型尺寸</t>
    <phoneticPr fontId="3" type="noConversion"/>
  </si>
  <si>
    <t>下料尺寸</t>
    <phoneticPr fontId="3" type="noConversion"/>
  </si>
  <si>
    <t>所有下料纹理方向均为高度方向</t>
    <phoneticPr fontId="3" type="noConversion"/>
  </si>
  <si>
    <t>简爱II</t>
    <phoneticPr fontId="3" type="noConversion"/>
  </si>
  <si>
    <t>箱体序号</t>
    <phoneticPr fontId="3" type="noConversion"/>
  </si>
  <si>
    <t>高度</t>
    <phoneticPr fontId="3" type="noConversion"/>
  </si>
  <si>
    <t>门板颜色</t>
    <phoneticPr fontId="3" type="noConversion"/>
  </si>
  <si>
    <t>LC-001铝材</t>
    <phoneticPr fontId="3" type="noConversion"/>
  </si>
  <si>
    <t>门板平米</t>
    <phoneticPr fontId="3" type="noConversion"/>
  </si>
  <si>
    <t>门板张数</t>
    <phoneticPr fontId="3" type="noConversion"/>
  </si>
  <si>
    <t>悦章</t>
    <phoneticPr fontId="3" type="noConversion"/>
  </si>
  <si>
    <r>
      <t>M01-01触感浅橡</t>
    </r>
    <r>
      <rPr>
        <sz val="12"/>
        <rFont val="宋体"/>
        <family val="3"/>
        <charset val="134"/>
      </rPr>
      <t>(横纹）</t>
    </r>
    <phoneticPr fontId="3" type="noConversion"/>
  </si>
  <si>
    <t>触感浅橡双贴三聚氰胺EO级刨花板</t>
    <phoneticPr fontId="3" type="noConversion"/>
  </si>
  <si>
    <t>2.0*22浅橡PVC</t>
    <phoneticPr fontId="3" type="noConversion"/>
  </si>
  <si>
    <r>
      <t>M03-01触感红樱桃</t>
    </r>
    <r>
      <rPr>
        <sz val="12"/>
        <rFont val="宋体"/>
        <family val="3"/>
        <charset val="134"/>
      </rPr>
      <t>(</t>
    </r>
    <r>
      <rPr>
        <sz val="12"/>
        <rFont val="宋体"/>
        <family val="3"/>
        <charset val="134"/>
      </rPr>
      <t>横纹）</t>
    </r>
    <phoneticPr fontId="3" type="noConversion"/>
  </si>
  <si>
    <t>触感红樱桃双贴三聚氰胺EO级刨花板</t>
    <phoneticPr fontId="3" type="noConversion"/>
  </si>
  <si>
    <t>2.0*22红樱桃橡PVC</t>
    <phoneticPr fontId="3" type="noConversion"/>
  </si>
  <si>
    <r>
      <t>M06-01触感深橡</t>
    </r>
    <r>
      <rPr>
        <sz val="12"/>
        <rFont val="宋体"/>
        <family val="3"/>
        <charset val="134"/>
      </rPr>
      <t>(</t>
    </r>
    <r>
      <rPr>
        <sz val="12"/>
        <rFont val="宋体"/>
        <family val="3"/>
        <charset val="134"/>
      </rPr>
      <t>横纹）</t>
    </r>
    <phoneticPr fontId="3" type="noConversion"/>
  </si>
  <si>
    <t>触感深橡双贴三聚氰胺E0级刨花板</t>
    <phoneticPr fontId="3" type="noConversion"/>
  </si>
  <si>
    <t>2.0*22深橡PVC</t>
    <phoneticPr fontId="3" type="noConversion"/>
  </si>
  <si>
    <t>M11暖白</t>
    <phoneticPr fontId="3" type="noConversion"/>
  </si>
  <si>
    <t>暖白双贴三聚氰胺E0级刨花板（竖纹）</t>
    <phoneticPr fontId="3" type="noConversion"/>
  </si>
  <si>
    <t>2.0*22暖白PVC</t>
    <phoneticPr fontId="3" type="noConversion"/>
  </si>
  <si>
    <r>
      <t>M07艺术胡桃</t>
    </r>
    <r>
      <rPr>
        <sz val="12"/>
        <rFont val="宋体"/>
        <family val="3"/>
        <charset val="134"/>
      </rPr>
      <t>(</t>
    </r>
    <r>
      <rPr>
        <sz val="12"/>
        <rFont val="宋体"/>
        <family val="3"/>
        <charset val="134"/>
      </rPr>
      <t>横纹）</t>
    </r>
    <phoneticPr fontId="3" type="noConversion"/>
  </si>
  <si>
    <t>艺术胡桃双贴三聚氰胺E0级刨花板（竖纹）</t>
    <phoneticPr fontId="3" type="noConversion"/>
  </si>
  <si>
    <t>2.0*22艺术胡桃PVC</t>
    <phoneticPr fontId="3" type="noConversion"/>
  </si>
  <si>
    <t>M13荷花白</t>
    <phoneticPr fontId="3" type="noConversion"/>
  </si>
  <si>
    <t>荷花白双贴三聚氰胺E0级刨花板</t>
    <phoneticPr fontId="3" type="noConversion"/>
  </si>
  <si>
    <r>
      <t>2.0*22荷花白</t>
    </r>
    <r>
      <rPr>
        <sz val="12"/>
        <rFont val="宋体"/>
        <family val="3"/>
        <charset val="134"/>
      </rPr>
      <t>PVC</t>
    </r>
    <phoneticPr fontId="3" type="noConversion"/>
  </si>
  <si>
    <t>M16触感铁灰+2.0*22铁灰PVC</t>
    <phoneticPr fontId="3" type="noConversion"/>
  </si>
  <si>
    <t>M16触感铁灰</t>
    <phoneticPr fontId="3" type="noConversion"/>
  </si>
  <si>
    <t>触感铁灰双贴三聚氰胺级E0刨花板</t>
    <phoneticPr fontId="3" type="noConversion"/>
  </si>
  <si>
    <r>
      <t>2.0*22铁灰</t>
    </r>
    <r>
      <rPr>
        <sz val="12"/>
        <rFont val="宋体"/>
        <family val="3"/>
        <charset val="134"/>
      </rPr>
      <t>PVC</t>
    </r>
    <phoneticPr fontId="3" type="noConversion"/>
  </si>
  <si>
    <t>M17豆绿哑光</t>
    <phoneticPr fontId="3" type="noConversion"/>
  </si>
  <si>
    <t>豆绿哑光双贴三聚氰胺级EO刨花板</t>
    <phoneticPr fontId="3" type="noConversion"/>
  </si>
  <si>
    <t>M28白蜡木(横纹）</t>
    <phoneticPr fontId="3" type="noConversion"/>
  </si>
  <si>
    <t>白蜡木双贴三聚氰胺E0级刨花板</t>
    <phoneticPr fontId="3" type="noConversion"/>
  </si>
  <si>
    <t>2.0*22白蜡木PVC</t>
    <phoneticPr fontId="3" type="noConversion"/>
  </si>
  <si>
    <t>M01-2浮雕浅橡(横纹）</t>
    <phoneticPr fontId="3" type="noConversion"/>
  </si>
  <si>
    <t>浅橡浮雕双贴三聚氰胺E0级刨花板</t>
    <phoneticPr fontId="3" type="noConversion"/>
  </si>
  <si>
    <t>2.0*22浮雕浅橡PVC</t>
    <phoneticPr fontId="3" type="noConversion"/>
  </si>
  <si>
    <t>M29-深胡桃(横纹）</t>
    <phoneticPr fontId="3" type="noConversion"/>
  </si>
  <si>
    <t>深胡桃双贴三聚氰胺E0级刨花板</t>
    <phoneticPr fontId="3" type="noConversion"/>
  </si>
  <si>
    <t>2.0*22深胡桃PVC</t>
    <phoneticPr fontId="3" type="noConversion"/>
  </si>
  <si>
    <t>M30柚木(横纹）</t>
    <phoneticPr fontId="3" type="noConversion"/>
  </si>
  <si>
    <t>柚木双贴三聚氰胺E0级刨花板</t>
    <phoneticPr fontId="3" type="noConversion"/>
  </si>
  <si>
    <t>2.0*22柚木PVC</t>
    <phoneticPr fontId="3" type="noConversion"/>
  </si>
  <si>
    <t>M43</t>
    <phoneticPr fontId="3" type="noConversion"/>
  </si>
  <si>
    <t>奶油灰高光双贴三聚氰胺E1级中密度板</t>
    <phoneticPr fontId="3" type="noConversion"/>
  </si>
  <si>
    <t>铝色PVC2.0*22</t>
    <phoneticPr fontId="3" type="noConversion"/>
  </si>
  <si>
    <t>M38</t>
    <phoneticPr fontId="3" type="noConversion"/>
  </si>
  <si>
    <t>酒红高光双贴三聚氰胺E1级中密度板</t>
    <phoneticPr fontId="3" type="noConversion"/>
  </si>
  <si>
    <t>M39</t>
  </si>
  <si>
    <t>黑檀高光双贴三聚氰胺E1级中密度板</t>
    <phoneticPr fontId="3" type="noConversion"/>
  </si>
  <si>
    <t>M40</t>
  </si>
  <si>
    <t>香槟高光双贴三聚氰胺E1级中密度板</t>
  </si>
  <si>
    <t>M41</t>
  </si>
  <si>
    <t>湛蓝高光双贴三聚氰胺E1级中密度板</t>
    <phoneticPr fontId="3" type="noConversion"/>
  </si>
  <si>
    <t>M42</t>
  </si>
  <si>
    <t>纯白高光双贴三聚氰胺E1级中密度板</t>
    <phoneticPr fontId="3" type="noConversion"/>
  </si>
  <si>
    <r>
      <t>M21银灰波浪</t>
    </r>
    <r>
      <rPr>
        <sz val="12"/>
        <rFont val="宋体"/>
        <family val="3"/>
        <charset val="134"/>
      </rPr>
      <t>(</t>
    </r>
    <r>
      <rPr>
        <sz val="12"/>
        <rFont val="宋体"/>
        <family val="3"/>
        <charset val="134"/>
      </rPr>
      <t>横纹）</t>
    </r>
    <phoneticPr fontId="3" type="noConversion"/>
  </si>
  <si>
    <t>银灰波浪双贴三聚氰胺级EO刨花板</t>
    <phoneticPr fontId="3" type="noConversion"/>
  </si>
  <si>
    <t>2.0*22银灰波浪PVC</t>
    <phoneticPr fontId="3" type="noConversion"/>
  </si>
  <si>
    <r>
      <t>M24荷花白波浪</t>
    </r>
    <r>
      <rPr>
        <sz val="12"/>
        <rFont val="宋体"/>
        <family val="3"/>
        <charset val="134"/>
      </rPr>
      <t>(</t>
    </r>
    <r>
      <rPr>
        <sz val="12"/>
        <rFont val="宋体"/>
        <family val="3"/>
        <charset val="134"/>
      </rPr>
      <t>横纹）</t>
    </r>
    <phoneticPr fontId="3" type="noConversion"/>
  </si>
  <si>
    <t>18厚M24荷花白波浪双贴三聚氰胺刨花板</t>
    <phoneticPr fontId="3" type="noConversion"/>
  </si>
  <si>
    <t>合计数</t>
    <phoneticPr fontId="3" type="noConversion"/>
  </si>
  <si>
    <t>M25银灰</t>
    <phoneticPr fontId="3" type="noConversion"/>
  </si>
  <si>
    <t>18mm银灰双贴三聚氰胺级刨花板</t>
    <phoneticPr fontId="3" type="noConversion"/>
  </si>
  <si>
    <r>
      <t>2.0*22银灰</t>
    </r>
    <r>
      <rPr>
        <sz val="12"/>
        <rFont val="宋体"/>
        <family val="3"/>
        <charset val="134"/>
      </rPr>
      <t>PVC</t>
    </r>
    <phoneticPr fontId="3" type="noConversion"/>
  </si>
  <si>
    <r>
      <t>M1</t>
    </r>
    <r>
      <rPr>
        <sz val="12"/>
        <rFont val="宋体"/>
        <family val="3"/>
        <charset val="134"/>
      </rPr>
      <t>6铁灰</t>
    </r>
    <r>
      <rPr>
        <sz val="12"/>
        <rFont val="宋体"/>
        <family val="3"/>
        <charset val="134"/>
      </rPr>
      <t>+T型铝封边</t>
    </r>
    <phoneticPr fontId="3" type="noConversion"/>
  </si>
  <si>
    <t>M16铁灰</t>
    <phoneticPr fontId="3" type="noConversion"/>
  </si>
  <si>
    <t>铁灰双贴三聚氰胺级E0刨花板</t>
    <phoneticPr fontId="3"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</si>
  <si>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3" type="noConversion"/>
  </si>
  <si>
    <t>制单人：</t>
    <phoneticPr fontId="3" type="noConversion"/>
  </si>
  <si>
    <t>纯色，竖纹</t>
    <phoneticPr fontId="3" type="noConversion"/>
  </si>
  <si>
    <t>横纹</t>
    <phoneticPr fontId="3" type="noConversion"/>
  </si>
  <si>
    <t>对纹</t>
    <phoneticPr fontId="3" type="noConversion"/>
  </si>
  <si>
    <t>客户姓名：</t>
  </si>
  <si>
    <t>款式：</t>
    <phoneticPr fontId="3" type="noConversion"/>
  </si>
  <si>
    <t>图纸编号：</t>
  </si>
  <si>
    <t>型号.规格.颜色</t>
    <phoneticPr fontId="3" type="noConversion"/>
  </si>
  <si>
    <t>门板顶线罗马柱</t>
    <phoneticPr fontId="3" type="noConversion"/>
  </si>
  <si>
    <t>18*4*8</t>
    <phoneticPr fontId="3" type="noConversion"/>
  </si>
  <si>
    <t>门板加工辅助材料</t>
    <phoneticPr fontId="3" type="noConversion"/>
  </si>
  <si>
    <t>通长铝拉手</t>
    <phoneticPr fontId="3" type="noConversion"/>
  </si>
  <si>
    <r>
      <t>L</t>
    </r>
    <r>
      <rPr>
        <sz val="12"/>
        <color indexed="10"/>
        <rFont val="宋体"/>
        <family val="3"/>
        <charset val="134"/>
      </rPr>
      <t>C-003</t>
    </r>
    <phoneticPr fontId="3" type="noConversion"/>
  </si>
  <si>
    <t>普施宝免钉胶</t>
    <phoneticPr fontId="3" type="noConversion"/>
  </si>
  <si>
    <t>接单日期</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</si>
  <si>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</si>
  <si>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</si>
  <si>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</si>
  <si>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</si>
  <si>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</si>
  <si>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</si>
  <si>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</si>
  <si>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</si>
  <si>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</si>
  <si>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</si>
  <si>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</si>
  <si>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</si>
  <si>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</si>
  <si>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</si>
  <si>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</si>
  <si>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</si>
  <si>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</si>
  <si>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</si>
  <si>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</si>
  <si>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</si>
  <si>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</si>
  <si>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</si>
  <si>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</si>
  <si>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</si>
  <si>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拉篮</t>
    <phoneticPr fontId="3" type="noConversion"/>
  </si>
  <si>
    <t>安玻璃</t>
    <phoneticPr fontId="3" type="noConversion"/>
  </si>
  <si>
    <t>封边拉手</t>
    <phoneticPr fontId="3" type="noConversion"/>
  </si>
  <si>
    <t>车间负责人：</t>
    <phoneticPr fontId="3" type="noConversion"/>
  </si>
  <si>
    <t>木业有限公司销售中心-工艺部</t>
    <phoneticPr fontId="3" type="noConversion"/>
  </si>
  <si>
    <t>木业有限公司工艺材料单(门板)</t>
    <phoneticPr fontId="3" type="noConversion"/>
  </si>
  <si>
    <t>门板生产加工单（自加工）</t>
    <phoneticPr fontId="59" type="noConversion"/>
  </si>
  <si>
    <t>客户姓名：</t>
    <phoneticPr fontId="59" type="noConversion"/>
  </si>
  <si>
    <t>总数量：</t>
  </si>
  <si>
    <t>图纸编号：</t>
    <phoneticPr fontId="59" type="noConversion"/>
  </si>
  <si>
    <t>下单日期：</t>
  </si>
  <si>
    <r>
      <t xml:space="preserve"> </t>
    </r>
    <r>
      <rPr>
        <sz val="12"/>
        <rFont val="宋体"/>
        <family val="3"/>
        <charset val="134"/>
      </rPr>
      <t xml:space="preserve"> </t>
    </r>
    <phoneticPr fontId="59" type="noConversion"/>
  </si>
  <si>
    <t>城市</t>
  </si>
  <si>
    <t>门板描述：</t>
    <phoneticPr fontId="59" type="noConversion"/>
  </si>
  <si>
    <t>单面烤漆：</t>
    <phoneticPr fontId="59" type="noConversion"/>
  </si>
  <si>
    <t>橱柜款式</t>
    <phoneticPr fontId="59" type="noConversion"/>
  </si>
  <si>
    <t>色诱</t>
    <phoneticPr fontId="59" type="noConversion"/>
  </si>
  <si>
    <t>此单为单面烤漆，正面及四边做漆</t>
    <phoneticPr fontId="59" type="noConversion"/>
  </si>
  <si>
    <t>说明</t>
    <phoneticPr fontId="59" type="noConversion"/>
  </si>
  <si>
    <t>成型尺寸</t>
    <phoneticPr fontId="59" type="noConversion"/>
  </si>
  <si>
    <t>下料尺寸</t>
    <phoneticPr fontId="59" type="noConversion"/>
  </si>
  <si>
    <t>门板基材:</t>
    <phoneticPr fontId="59" type="noConversion"/>
  </si>
  <si>
    <t>18A暖白双贴三聚氰胺刨花板</t>
    <phoneticPr fontId="59" type="noConversion"/>
  </si>
  <si>
    <t>一实际宽边方向铣拉手槽</t>
    <phoneticPr fontId="59" type="noConversion"/>
  </si>
  <si>
    <t>箱体序号</t>
    <phoneticPr fontId="59" type="noConversion"/>
  </si>
  <si>
    <t>高度</t>
    <phoneticPr fontId="59" type="noConversion"/>
  </si>
  <si>
    <t>数量</t>
    <phoneticPr fontId="59" type="noConversion"/>
  </si>
  <si>
    <t>宽度</t>
    <phoneticPr fontId="59" type="noConversion"/>
  </si>
  <si>
    <t>加工备注</t>
    <phoneticPr fontId="59" type="noConversion"/>
  </si>
  <si>
    <t>门板平米</t>
    <phoneticPr fontId="59" type="noConversion"/>
  </si>
  <si>
    <t>门板封边</t>
    <phoneticPr fontId="59" type="noConversion"/>
  </si>
  <si>
    <t>门板张数</t>
    <phoneticPr fontId="59" type="noConversion"/>
  </si>
  <si>
    <t>单面油漆总平米数</t>
    <phoneticPr fontId="59" type="noConversion"/>
  </si>
  <si>
    <t>双面油漆总平米数</t>
    <phoneticPr fontId="59" type="noConversion"/>
  </si>
  <si>
    <t>LC-003铝材</t>
    <phoneticPr fontId="59" type="noConversion"/>
  </si>
  <si>
    <t>油漆平米数：</t>
    <phoneticPr fontId="59" type="noConversion"/>
  </si>
  <si>
    <t>此单分下料尺寸和成型尺寸2种，请生产各工段注意！</t>
    <phoneticPr fontId="59" type="noConversion"/>
  </si>
  <si>
    <t>合计数</t>
    <phoneticPr fontId="59"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</si>
  <si>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59" type="noConversion"/>
  </si>
  <si>
    <t>侧边平米数</t>
    <phoneticPr fontId="59" type="noConversion"/>
  </si>
  <si>
    <t>制单人：</t>
    <phoneticPr fontId="59" type="noConversion"/>
  </si>
  <si>
    <t>门板单面+四边油漆面积</t>
    <phoneticPr fontId="59" type="noConversion"/>
  </si>
  <si>
    <t>油漆平米数：</t>
  </si>
  <si>
    <t>橱柜款式</t>
    <phoneticPr fontId="59" type="noConversion"/>
  </si>
  <si>
    <t>色诱</t>
    <phoneticPr fontId="59" type="noConversion"/>
  </si>
  <si>
    <t>材质</t>
    <phoneticPr fontId="59" type="noConversion"/>
  </si>
  <si>
    <t>表面光度</t>
  </si>
  <si>
    <t>颜色名称</t>
  </si>
  <si>
    <t>色号</t>
    <phoneticPr fontId="59" type="noConversion"/>
  </si>
  <si>
    <t>加工工序</t>
  </si>
  <si>
    <t>加工方式</t>
    <phoneticPr fontId="59" type="noConversion"/>
  </si>
  <si>
    <t>单次定额
g/㎡</t>
    <phoneticPr fontId="59" type="noConversion"/>
  </si>
  <si>
    <t>次数</t>
    <phoneticPr fontId="59" type="noConversion"/>
  </si>
  <si>
    <t>材料型号</t>
  </si>
  <si>
    <t>配比</t>
  </si>
  <si>
    <t>用量</t>
    <phoneticPr fontId="59" type="noConversion"/>
  </si>
  <si>
    <t>主剂</t>
  </si>
  <si>
    <t>固化剂</t>
  </si>
  <si>
    <t>稀料（冬/夏）</t>
  </si>
  <si>
    <t>修色剂</t>
  </si>
  <si>
    <t>稀释剂</t>
  </si>
  <si>
    <t>项目</t>
    <phoneticPr fontId="59" type="noConversion"/>
  </si>
  <si>
    <t>序号</t>
    <phoneticPr fontId="59" type="noConversion"/>
  </si>
  <si>
    <t>材料名称</t>
    <phoneticPr fontId="59" type="noConversion"/>
  </si>
  <si>
    <t>规格</t>
    <phoneticPr fontId="59" type="noConversion"/>
  </si>
  <si>
    <t>数量</t>
    <phoneticPr fontId="59" type="noConversion"/>
  </si>
  <si>
    <t>单位</t>
    <phoneticPr fontId="59" type="noConversion"/>
  </si>
  <si>
    <t>材质颜色</t>
    <phoneticPr fontId="59" type="noConversion"/>
  </si>
  <si>
    <t>PU一分光</t>
    <phoneticPr fontId="59" type="noConversion"/>
  </si>
  <si>
    <t>象牙白</t>
  </si>
  <si>
    <t>L02</t>
  </si>
  <si>
    <t>面漆工序</t>
    <phoneticPr fontId="59" type="noConversion"/>
  </si>
  <si>
    <t>手工喷涂</t>
    <phoneticPr fontId="59" type="noConversion"/>
  </si>
  <si>
    <t>PBJ3386</t>
  </si>
  <si>
    <t>PR82</t>
  </si>
  <si>
    <t>PX903/PX904</t>
  </si>
  <si>
    <t>无</t>
    <phoneticPr fontId="59" type="noConversion"/>
  </si>
  <si>
    <t>门板基材</t>
    <phoneticPr fontId="59" type="noConversion"/>
  </si>
  <si>
    <t>1220*2440</t>
    <phoneticPr fontId="59" type="noConversion"/>
  </si>
  <si>
    <t>张</t>
    <phoneticPr fontId="59" type="noConversion"/>
  </si>
  <si>
    <t>冬用</t>
    <phoneticPr fontId="59" type="noConversion"/>
  </si>
  <si>
    <t>纯白</t>
  </si>
  <si>
    <t>L12</t>
  </si>
  <si>
    <t>面漆工序</t>
    <phoneticPr fontId="59" type="noConversion"/>
  </si>
  <si>
    <t>手工喷涂</t>
    <phoneticPr fontId="59" type="noConversion"/>
  </si>
  <si>
    <t>CRF55085A9</t>
  </si>
  <si>
    <t>CRF55085B</t>
    <phoneticPr fontId="59" type="noConversion"/>
  </si>
  <si>
    <t>RTS-10SL</t>
    <phoneticPr fontId="59" type="noConversion"/>
  </si>
  <si>
    <t>1.0*22白色PVC（混油专用）</t>
    <phoneticPr fontId="59" type="noConversion"/>
  </si>
  <si>
    <t>米</t>
    <phoneticPr fontId="59" type="noConversion"/>
  </si>
  <si>
    <t>夏用</t>
    <phoneticPr fontId="59" type="noConversion"/>
  </si>
  <si>
    <t>珍珠白</t>
  </si>
  <si>
    <t>L01</t>
  </si>
  <si>
    <t>PBJ3388</t>
  </si>
  <si>
    <t>无</t>
  </si>
  <si>
    <t>热熔胶</t>
  </si>
  <si>
    <t>克</t>
    <phoneticPr fontId="59" type="noConversion"/>
  </si>
  <si>
    <t>油漆明细</t>
    <phoneticPr fontId="59" type="noConversion"/>
  </si>
  <si>
    <t>千克</t>
    <phoneticPr fontId="59" type="noConversion"/>
  </si>
  <si>
    <t>浅灰</t>
  </si>
  <si>
    <t>L05</t>
  </si>
  <si>
    <t>面漆工序</t>
    <phoneticPr fontId="59" type="noConversion"/>
  </si>
  <si>
    <t>手工喷涂</t>
    <phoneticPr fontId="59" type="noConversion"/>
  </si>
  <si>
    <t>PBJ3413</t>
  </si>
  <si>
    <t>PR50</t>
  </si>
  <si>
    <t>PU
高光</t>
    <phoneticPr fontId="59" type="noConversion"/>
  </si>
  <si>
    <t>卡布奇诺</t>
  </si>
  <si>
    <t>L06</t>
  </si>
  <si>
    <t>面漆工序</t>
    <phoneticPr fontId="59" type="noConversion"/>
  </si>
  <si>
    <t>手工喷涂</t>
    <phoneticPr fontId="59" type="noConversion"/>
  </si>
  <si>
    <t>PBJ3411</t>
  </si>
  <si>
    <r>
      <t>PU白底（cefla喷涂</t>
    </r>
    <r>
      <rPr>
        <sz val="10"/>
        <rFont val="宋体"/>
        <family val="3"/>
        <charset val="134"/>
      </rPr>
      <t>+手工喷涂</t>
    </r>
    <r>
      <rPr>
        <sz val="10"/>
        <rFont val="宋体"/>
        <family val="3"/>
        <charset val="134"/>
      </rPr>
      <t>）</t>
    </r>
    <phoneticPr fontId="59" type="noConversion"/>
  </si>
  <si>
    <t>千克</t>
    <phoneticPr fontId="59" type="noConversion"/>
  </si>
  <si>
    <t>纯黑</t>
    <phoneticPr fontId="59" type="noConversion"/>
  </si>
  <si>
    <t>L11</t>
  </si>
  <si>
    <t>P1270</t>
  </si>
  <si>
    <t>千克</t>
    <phoneticPr fontId="59" type="noConversion"/>
  </si>
  <si>
    <t>面漆工序</t>
    <phoneticPr fontId="59" type="noConversion"/>
  </si>
  <si>
    <t>手工喷涂</t>
    <phoneticPr fontId="59" type="noConversion"/>
  </si>
  <si>
    <t>CRF55085B</t>
  </si>
  <si>
    <t>RTS-10SL</t>
  </si>
  <si>
    <t>千克</t>
    <phoneticPr fontId="59" type="noConversion"/>
  </si>
  <si>
    <t>G01</t>
  </si>
  <si>
    <t>面漆工序</t>
  </si>
  <si>
    <t>G02</t>
  </si>
  <si>
    <t>PU面漆（手工喷涂)</t>
    <phoneticPr fontId="59" type="noConversion"/>
  </si>
  <si>
    <t>G06</t>
  </si>
  <si>
    <t>深灰</t>
    <phoneticPr fontId="59" type="noConversion"/>
  </si>
  <si>
    <t>G07</t>
  </si>
  <si>
    <t>PBJ3408</t>
  </si>
  <si>
    <t>柠檬绿</t>
    <phoneticPr fontId="59" type="noConversion"/>
  </si>
  <si>
    <t>G08</t>
    <phoneticPr fontId="59" type="noConversion"/>
  </si>
  <si>
    <t>PBJ3412</t>
    <phoneticPr fontId="59" type="noConversion"/>
  </si>
  <si>
    <t>PR50</t>
    <phoneticPr fontId="59" type="noConversion"/>
  </si>
  <si>
    <t>法拉利红</t>
  </si>
  <si>
    <t>G09</t>
  </si>
  <si>
    <t>PBJ3403</t>
  </si>
  <si>
    <t>酒红</t>
  </si>
  <si>
    <t>G10</t>
  </si>
  <si>
    <t>PBJ3419</t>
  </si>
  <si>
    <t>纯黑</t>
  </si>
  <si>
    <t>G11</t>
  </si>
  <si>
    <r>
      <t>P127</t>
    </r>
    <r>
      <rPr>
        <sz val="8"/>
        <color indexed="8"/>
        <rFont val="微软雅黑"/>
        <family val="2"/>
        <charset val="134"/>
      </rPr>
      <t>0</t>
    </r>
    <phoneticPr fontId="59" type="noConversion"/>
  </si>
  <si>
    <t>拉手</t>
    <phoneticPr fontId="59" type="noConversion"/>
  </si>
  <si>
    <t>配料：</t>
    <phoneticPr fontId="59" type="noConversion"/>
  </si>
  <si>
    <t>G12</t>
  </si>
  <si>
    <t>PBJ4490</t>
  </si>
  <si>
    <t>T32944</t>
  </si>
  <si>
    <t>PX801/PX803</t>
  </si>
  <si>
    <t>配料日期：</t>
    <phoneticPr fontId="59" type="noConversion"/>
  </si>
  <si>
    <t>三聚氰胺刨花板门板/柜板</t>
    <phoneticPr fontId="59" type="noConversion"/>
  </si>
  <si>
    <t>G01/G02/G06/G07/G09/G10/G11/G12</t>
    <phoneticPr fontId="59" type="noConversion"/>
  </si>
  <si>
    <t>UV清底</t>
  </si>
  <si>
    <t>辊涂面</t>
  </si>
  <si>
    <t>平面</t>
    <phoneticPr fontId="59" type="noConversion"/>
  </si>
  <si>
    <t>UA5002</t>
  </si>
  <si>
    <t>UV白底</t>
  </si>
  <si>
    <t>UTA1012</t>
  </si>
  <si>
    <t>PU白底</t>
    <phoneticPr fontId="59" type="noConversion"/>
  </si>
  <si>
    <t>手工喷涂</t>
  </si>
  <si>
    <t>平面+四边</t>
    <phoneticPr fontId="59" type="noConversion"/>
  </si>
  <si>
    <t>T20975</t>
    <phoneticPr fontId="59" type="noConversion"/>
  </si>
  <si>
    <t>PR66</t>
  </si>
  <si>
    <t>PX705/PX707</t>
  </si>
  <si>
    <t>L01/L02/L05/L06/L12</t>
    <phoneticPr fontId="59" type="noConversion"/>
  </si>
  <si>
    <t>共</t>
    <phoneticPr fontId="59" type="noConversion"/>
  </si>
  <si>
    <t>套</t>
    <phoneticPr fontId="59" type="noConversion"/>
  </si>
  <si>
    <t>客户姓名</t>
    <phoneticPr fontId="59" type="noConversion"/>
  </si>
  <si>
    <t>订单编号</t>
    <phoneticPr fontId="59" type="noConversion"/>
  </si>
  <si>
    <t>接单日期</t>
    <phoneticPr fontId="59" type="noConversion"/>
  </si>
  <si>
    <t>款式名称</t>
    <phoneticPr fontId="59" type="noConversion"/>
  </si>
  <si>
    <t>色诱</t>
    <phoneticPr fontId="59" type="noConversion"/>
  </si>
  <si>
    <t>材质/色号</t>
    <phoneticPr fontId="59" type="noConversion"/>
  </si>
  <si>
    <t>下单日期</t>
    <phoneticPr fontId="59" type="noConversion"/>
  </si>
  <si>
    <t>销售点</t>
    <phoneticPr fontId="59" type="noConversion"/>
  </si>
  <si>
    <t>设计师</t>
    <phoneticPr fontId="59" type="noConversion"/>
  </si>
  <si>
    <t>应完成日期</t>
    <phoneticPr fontId="59" type="noConversion"/>
  </si>
  <si>
    <t>产品系列</t>
    <phoneticPr fontId="59" type="noConversion"/>
  </si>
  <si>
    <t>实木</t>
    <phoneticPr fontId="59" type="noConversion"/>
  </si>
  <si>
    <t>混油</t>
    <phoneticPr fontId="59" type="noConversion"/>
  </si>
  <si>
    <t>清油</t>
    <phoneticPr fontId="59" type="noConversion"/>
  </si>
  <si>
    <t>吸塑</t>
    <phoneticPr fontId="59" type="noConversion"/>
  </si>
  <si>
    <t>免漆</t>
    <phoneticPr fontId="59" type="noConversion"/>
  </si>
  <si>
    <t>铝框</t>
    <phoneticPr fontId="59" type="noConversion"/>
  </si>
  <si>
    <t>序号</t>
    <phoneticPr fontId="59" type="noConversion"/>
  </si>
  <si>
    <t>工序名称</t>
    <phoneticPr fontId="59" type="noConversion"/>
  </si>
  <si>
    <t>成品数量</t>
    <phoneticPr fontId="59" type="noConversion"/>
  </si>
  <si>
    <t>接单日期</t>
    <phoneticPr fontId="59" type="noConversion"/>
  </si>
  <si>
    <t>完成日期</t>
    <phoneticPr fontId="59" type="noConversion"/>
  </si>
  <si>
    <t>主机手</t>
    <phoneticPr fontId="59" type="noConversion"/>
  </si>
  <si>
    <t>质检</t>
    <phoneticPr fontId="59" type="noConversion"/>
  </si>
  <si>
    <t>备注</t>
    <phoneticPr fontId="59" type="noConversion"/>
  </si>
  <si>
    <t>下料</t>
    <phoneticPr fontId="59" type="noConversion"/>
  </si>
  <si>
    <t>码龙骨</t>
    <phoneticPr fontId="59" type="noConversion"/>
  </si>
  <si>
    <t>定厚砂光</t>
    <phoneticPr fontId="59" type="noConversion"/>
  </si>
  <si>
    <t>四面刨</t>
    <phoneticPr fontId="59" type="noConversion"/>
  </si>
  <si>
    <t>热压</t>
    <phoneticPr fontId="59" type="noConversion"/>
  </si>
  <si>
    <t>木皮切割</t>
    <phoneticPr fontId="59" type="noConversion"/>
  </si>
  <si>
    <t>木皮拼线</t>
    <phoneticPr fontId="59" type="noConversion"/>
  </si>
  <si>
    <t>木皮涂胶</t>
    <phoneticPr fontId="59" type="noConversion"/>
  </si>
  <si>
    <t>木皮砂光</t>
    <phoneticPr fontId="59" type="noConversion"/>
  </si>
  <si>
    <t>包覆机</t>
    <phoneticPr fontId="59" type="noConversion"/>
  </si>
  <si>
    <t>层板铝扣条</t>
    <phoneticPr fontId="59" type="noConversion"/>
  </si>
  <si>
    <t>铝制踢脚板</t>
    <phoneticPr fontId="59" type="noConversion"/>
  </si>
  <si>
    <t>封边</t>
    <phoneticPr fontId="59" type="noConversion"/>
  </si>
  <si>
    <t>排钻</t>
    <phoneticPr fontId="59" type="noConversion"/>
  </si>
  <si>
    <t>门板制作</t>
    <phoneticPr fontId="59" type="noConversion"/>
  </si>
  <si>
    <t>铣型</t>
    <phoneticPr fontId="59" type="noConversion"/>
  </si>
  <si>
    <t>异型封边</t>
    <phoneticPr fontId="59" type="noConversion"/>
  </si>
  <si>
    <t>COSTA砂光</t>
    <phoneticPr fontId="59" type="noConversion"/>
  </si>
  <si>
    <t>滚涂底漆</t>
    <phoneticPr fontId="59" type="noConversion"/>
  </si>
  <si>
    <t>手工清理边角</t>
    <phoneticPr fontId="59" type="noConversion"/>
  </si>
  <si>
    <t>双面砂边</t>
    <phoneticPr fontId="59" type="noConversion"/>
  </si>
  <si>
    <t>COSTA底漆</t>
    <phoneticPr fontId="59" type="noConversion"/>
  </si>
  <si>
    <t>手工边缘打磨</t>
    <phoneticPr fontId="59" type="noConversion"/>
  </si>
  <si>
    <t>清理除尘</t>
    <phoneticPr fontId="59" type="noConversion"/>
  </si>
  <si>
    <t>CEFLA白底</t>
    <phoneticPr fontId="59" type="noConversion"/>
  </si>
  <si>
    <t>手工喷漆</t>
    <phoneticPr fontId="59" type="noConversion"/>
  </si>
  <si>
    <t>手工润色</t>
    <phoneticPr fontId="59" type="noConversion"/>
  </si>
  <si>
    <t>水磨</t>
    <phoneticPr fontId="59" type="noConversion"/>
  </si>
  <si>
    <t>抛光</t>
    <phoneticPr fontId="59" type="noConversion"/>
  </si>
  <si>
    <t>组装</t>
    <phoneticPr fontId="59" type="noConversion"/>
  </si>
  <si>
    <t>拉篮</t>
    <phoneticPr fontId="59" type="noConversion"/>
  </si>
  <si>
    <t>小怪物</t>
    <phoneticPr fontId="59" type="noConversion"/>
  </si>
  <si>
    <t>铝框门</t>
    <phoneticPr fontId="59" type="noConversion"/>
  </si>
  <si>
    <t>门铰</t>
    <phoneticPr fontId="59" type="noConversion"/>
  </si>
  <si>
    <t>铝百叶</t>
    <phoneticPr fontId="59" type="noConversion"/>
  </si>
  <si>
    <t>安玻璃</t>
    <phoneticPr fontId="59" type="noConversion"/>
  </si>
  <si>
    <t>扣手</t>
    <phoneticPr fontId="59" type="noConversion"/>
  </si>
  <si>
    <t>封边拉手</t>
    <phoneticPr fontId="59" type="noConversion"/>
  </si>
  <si>
    <t>打包</t>
    <phoneticPr fontId="59" type="noConversion"/>
  </si>
  <si>
    <t>工艺员：</t>
    <phoneticPr fontId="59" type="noConversion"/>
  </si>
  <si>
    <t>车间负责人：</t>
    <phoneticPr fontId="59" type="noConversion"/>
  </si>
  <si>
    <t>木业有限公司技术部-工艺组</t>
    <phoneticPr fontId="59" type="noConversion"/>
  </si>
  <si>
    <t>木业有限公司工艺材料单(门板)</t>
    <phoneticPr fontId="59" type="noConversion"/>
  </si>
  <si>
    <t>夏用</t>
  </si>
  <si>
    <t>木业生产线工序交接表（橱柜油漆门板）</t>
    <phoneticPr fontId="59" type="noConversion"/>
  </si>
  <si>
    <t>UV白底</t>
    <phoneticPr fontId="3" type="noConversion"/>
  </si>
  <si>
    <t>UV1012</t>
    <phoneticPr fontId="3" type="noConversion"/>
  </si>
  <si>
    <t>UV1043</t>
    <phoneticPr fontId="3" type="noConversion"/>
  </si>
  <si>
    <t>木业有限公司技术部-工艺组</t>
    <phoneticPr fontId="3" type="noConversion"/>
  </si>
  <si>
    <t>门板生产加工单（自加工）      UV辊边工艺</t>
    <phoneticPr fontId="3" type="noConversion"/>
  </si>
  <si>
    <t>庄园橡木山纹N02-V</t>
  </si>
  <si>
    <t>设计姓名：</t>
    <phoneticPr fontId="3" type="noConversion"/>
  </si>
  <si>
    <t>樱桃山纹N03-V</t>
  </si>
  <si>
    <t>下单日期：</t>
    <phoneticPr fontId="3" type="noConversion"/>
  </si>
  <si>
    <t>安装日期</t>
    <phoneticPr fontId="3" type="noConversion"/>
  </si>
  <si>
    <t xml:space="preserve"> </t>
    <phoneticPr fontId="3" type="noConversion"/>
  </si>
  <si>
    <t>浅胡桃-山纹-N04-V</t>
  </si>
  <si>
    <t>门板描述：</t>
    <phoneticPr fontId="3" type="noConversion"/>
  </si>
  <si>
    <t>双面实木贴皮：</t>
    <phoneticPr fontId="3" type="noConversion"/>
  </si>
  <si>
    <t>横纹</t>
    <phoneticPr fontId="3" type="noConversion"/>
  </si>
  <si>
    <t>3分光</t>
    <phoneticPr fontId="3" type="noConversion"/>
  </si>
  <si>
    <t>左岸都市I</t>
    <phoneticPr fontId="3" type="noConversion"/>
  </si>
  <si>
    <t>门板成型尺寸一宽方向铣拉手槽</t>
  </si>
  <si>
    <t>深胡桃-山纹-N05-V</t>
  </si>
  <si>
    <t>所有下料纹理方向均为高度方向</t>
    <phoneticPr fontId="3" type="noConversion"/>
  </si>
  <si>
    <t>深橡-山纹N06</t>
  </si>
  <si>
    <t>说明</t>
    <phoneticPr fontId="3" type="noConversion"/>
  </si>
  <si>
    <t>成型尺寸</t>
    <phoneticPr fontId="3" type="noConversion"/>
  </si>
  <si>
    <t>下料尺寸</t>
    <phoneticPr fontId="3" type="noConversion"/>
  </si>
  <si>
    <t>门板基材：</t>
    <phoneticPr fontId="3" type="noConversion"/>
  </si>
  <si>
    <t>18厚EO级素刨花板</t>
    <phoneticPr fontId="3" type="noConversion"/>
  </si>
  <si>
    <t>非洲核桃直纹-N07-H</t>
  </si>
  <si>
    <t>箱体序号</t>
    <phoneticPr fontId="3" type="noConversion"/>
  </si>
  <si>
    <t>高度</t>
    <phoneticPr fontId="3" type="noConversion"/>
  </si>
  <si>
    <t>数量</t>
    <phoneticPr fontId="3" type="noConversion"/>
  </si>
  <si>
    <t>宽度</t>
    <phoneticPr fontId="3" type="noConversion"/>
  </si>
  <si>
    <t>门板说明</t>
    <phoneticPr fontId="3" type="noConversion"/>
  </si>
  <si>
    <t>备注</t>
    <phoneticPr fontId="3" type="noConversion"/>
  </si>
  <si>
    <t>门板封边</t>
    <phoneticPr fontId="3" type="noConversion"/>
  </si>
  <si>
    <t>门板平米</t>
    <phoneticPr fontId="3" type="noConversion"/>
  </si>
  <si>
    <t>门板张数</t>
    <phoneticPr fontId="3" type="noConversion"/>
  </si>
  <si>
    <t>双面平米</t>
    <phoneticPr fontId="3" type="noConversion"/>
  </si>
  <si>
    <t>木皮平米数</t>
    <phoneticPr fontId="3" type="noConversion"/>
  </si>
  <si>
    <t>踢脚板</t>
    <phoneticPr fontId="3" type="noConversion"/>
  </si>
  <si>
    <t>红色区域勿动</t>
    <phoneticPr fontId="3" type="noConversion"/>
  </si>
  <si>
    <t>此单分下料尺寸和成型尺寸2种，请生产各工段注意！</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</si>
  <si>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</si>
  <si>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3" type="noConversion"/>
  </si>
  <si>
    <t>侧边平米数</t>
    <phoneticPr fontId="3" type="noConversion"/>
  </si>
  <si>
    <t>制单人：</t>
    <phoneticPr fontId="3" type="noConversion"/>
  </si>
  <si>
    <t>夏用(有慢干水)</t>
  </si>
  <si>
    <t>夏用(无慢干水)</t>
    <phoneticPr fontId="3" type="noConversion"/>
  </si>
  <si>
    <t>夏用(有慢干水)</t>
    <phoneticPr fontId="3" type="noConversion"/>
  </si>
  <si>
    <t>手工喷边</t>
    <phoneticPr fontId="3" type="noConversion"/>
  </si>
  <si>
    <t>手工喷涂整个做漆面</t>
    <phoneticPr fontId="3" type="noConversion"/>
  </si>
  <si>
    <t>左岸都市1</t>
    <phoneticPr fontId="3" type="noConversion"/>
  </si>
  <si>
    <t>冬用</t>
    <phoneticPr fontId="3" type="noConversion"/>
  </si>
  <si>
    <t>木皮</t>
    <phoneticPr fontId="3" type="noConversion"/>
  </si>
  <si>
    <t>封边条</t>
    <phoneticPr fontId="3" type="noConversion"/>
  </si>
  <si>
    <t>修色</t>
    <phoneticPr fontId="3" type="noConversion"/>
  </si>
  <si>
    <t>单次量</t>
    <phoneticPr fontId="3" type="noConversion"/>
  </si>
  <si>
    <t>次数</t>
    <phoneticPr fontId="3" type="noConversion"/>
  </si>
  <si>
    <t>面漆</t>
    <phoneticPr fontId="3" type="noConversion"/>
  </si>
  <si>
    <t>PU清漆</t>
    <phoneticPr fontId="3" type="noConversion"/>
  </si>
  <si>
    <t>UV清底</t>
    <phoneticPr fontId="3" type="noConversion"/>
  </si>
  <si>
    <t>PU清底</t>
    <phoneticPr fontId="3" type="noConversion"/>
  </si>
  <si>
    <r>
      <t>U</t>
    </r>
    <r>
      <rPr>
        <sz val="12"/>
        <rFont val="宋体"/>
        <family val="3"/>
        <charset val="134"/>
      </rPr>
      <t>V辊面</t>
    </r>
    <phoneticPr fontId="3" type="noConversion"/>
  </si>
  <si>
    <t>设计姓名</t>
    <phoneticPr fontId="3" type="noConversion"/>
  </si>
  <si>
    <t>一分光</t>
    <phoneticPr fontId="3" type="noConversion"/>
  </si>
  <si>
    <t>白橡木皮</t>
    <phoneticPr fontId="3" type="noConversion"/>
  </si>
  <si>
    <t>山纹</t>
    <phoneticPr fontId="3" type="noConversion"/>
  </si>
  <si>
    <t>白橡山纹木皮封边</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</si>
  <si>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</si>
  <si>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</si>
  <si>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</si>
  <si>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</si>
  <si>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</si>
  <si>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</si>
  <si>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</si>
  <si>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</si>
  <si>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</si>
  <si>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三分光</t>
    <phoneticPr fontId="3" type="noConversion"/>
  </si>
  <si>
    <t>樱桃山纹木皮</t>
    <phoneticPr fontId="3" type="noConversion"/>
  </si>
  <si>
    <t>樱桃山纹木皮0.5mm</t>
    <phoneticPr fontId="3" type="noConversion"/>
  </si>
  <si>
    <t>红樱桃木皮封边</t>
    <phoneticPr fontId="3" type="noConversion"/>
  </si>
  <si>
    <t>PBJ3992</t>
    <phoneticPr fontId="3" type="noConversion"/>
  </si>
  <si>
    <t>主剂P86003</t>
    <phoneticPr fontId="3" type="noConversion"/>
  </si>
  <si>
    <t>固化剂PR86</t>
    <phoneticPr fontId="3" type="noConversion"/>
  </si>
  <si>
    <t>门板基材</t>
    <phoneticPr fontId="3" type="noConversion"/>
  </si>
  <si>
    <t>门板</t>
    <phoneticPr fontId="3" type="noConversion"/>
  </si>
  <si>
    <t>*</t>
    <phoneticPr fontId="3" type="noConversion"/>
  </si>
  <si>
    <t>胡桃山纹木皮</t>
    <phoneticPr fontId="3" type="noConversion"/>
  </si>
  <si>
    <t>胡桃山纹木皮0.5mm</t>
    <phoneticPr fontId="3" type="noConversion"/>
  </si>
  <si>
    <t>胡桃木皮封边</t>
  </si>
  <si>
    <t>PBJ4525</t>
    <phoneticPr fontId="3" type="noConversion"/>
  </si>
  <si>
    <t>胡桃山纹木皮</t>
  </si>
  <si>
    <t>胡桃山纹木皮封边条</t>
  </si>
  <si>
    <t>平米</t>
    <phoneticPr fontId="3" type="noConversion"/>
  </si>
  <si>
    <t>转换平米合计</t>
    <phoneticPr fontId="3" type="noConversion"/>
  </si>
  <si>
    <t>红橡山纹木皮</t>
    <phoneticPr fontId="3" type="noConversion"/>
  </si>
  <si>
    <t>红橡山纹木皮0.5mm</t>
    <phoneticPr fontId="3" type="noConversion"/>
  </si>
  <si>
    <t>红橡直纹木皮封边条</t>
    <phoneticPr fontId="3" type="noConversion"/>
  </si>
  <si>
    <t>PBJ4526</t>
    <phoneticPr fontId="3" type="noConversion"/>
  </si>
  <si>
    <t>胶类</t>
    <phoneticPr fontId="3" type="noConversion"/>
  </si>
  <si>
    <t>丽凯8803A</t>
    <phoneticPr fontId="3" type="noConversion"/>
  </si>
  <si>
    <t>非洲核桃木皮</t>
  </si>
  <si>
    <t>直纹木皮0.5mm厚</t>
    <phoneticPr fontId="3" type="noConversion"/>
  </si>
  <si>
    <t>非洲核桃木皮封边条</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</si>
  <si>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</si>
  <si>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</si>
  <si>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</si>
  <si>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</si>
  <si>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</si>
  <si>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</si>
  <si>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</si>
  <si>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</si>
  <si>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</si>
  <si>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拉手</t>
    <phoneticPr fontId="3" type="noConversion"/>
  </si>
  <si>
    <t>LC-003</t>
    <phoneticPr fontId="3" type="noConversion"/>
  </si>
  <si>
    <t>米</t>
    <phoneticPr fontId="3" type="noConversion"/>
  </si>
  <si>
    <t>热熔胶</t>
    <phoneticPr fontId="3" type="noConversion"/>
  </si>
  <si>
    <t>KS3920</t>
    <phoneticPr fontId="3" type="noConversion"/>
  </si>
  <si>
    <t>克</t>
    <phoneticPr fontId="3" type="noConversion"/>
  </si>
  <si>
    <t>普施宝免钉胶</t>
    <phoneticPr fontId="3" type="noConversion"/>
  </si>
  <si>
    <t>瓶</t>
    <phoneticPr fontId="3" type="noConversion"/>
  </si>
  <si>
    <t>贴面胶</t>
    <phoneticPr fontId="3" type="noConversion"/>
  </si>
  <si>
    <t>KL3052SR</t>
    <phoneticPr fontId="3" type="noConversion"/>
  </si>
  <si>
    <t>油漆明细</t>
    <phoneticPr fontId="3" type="noConversion"/>
  </si>
  <si>
    <t>UV底漆</t>
    <phoneticPr fontId="3" type="noConversion"/>
  </si>
  <si>
    <t>UV1832</t>
    <phoneticPr fontId="3" type="noConversion"/>
  </si>
  <si>
    <t>千克</t>
    <phoneticPr fontId="3" type="noConversion"/>
  </si>
  <si>
    <t>UA5002</t>
    <phoneticPr fontId="3" type="noConversion"/>
  </si>
  <si>
    <t>UA5012</t>
    <phoneticPr fontId="3" type="noConversion"/>
  </si>
  <si>
    <t>以下区域勿动</t>
    <phoneticPr fontId="3" type="noConversion"/>
  </si>
  <si>
    <t>UA辊边</t>
    <phoneticPr fontId="3" type="noConversion"/>
  </si>
  <si>
    <t>UV辊边</t>
    <phoneticPr fontId="3" type="noConversion"/>
  </si>
  <si>
    <t>UA1832</t>
    <phoneticPr fontId="3" type="noConversion"/>
  </si>
  <si>
    <t>UV辊边工艺</t>
    <phoneticPr fontId="3" type="noConversion"/>
  </si>
  <si>
    <t>UA4032</t>
    <phoneticPr fontId="3" type="noConversion"/>
  </si>
  <si>
    <t>PU清底（手工喷涂）</t>
    <phoneticPr fontId="3" type="noConversion"/>
  </si>
  <si>
    <t>修色 面漆</t>
    <phoneticPr fontId="3" type="noConversion"/>
  </si>
  <si>
    <t>慢干水PZ807</t>
    <phoneticPr fontId="3" type="noConversion"/>
  </si>
  <si>
    <t>PU面漆（手工喷涂）</t>
    <phoneticPr fontId="3" type="noConversion"/>
  </si>
  <si>
    <t>UV清底</t>
    <phoneticPr fontId="3" type="noConversion"/>
  </si>
  <si>
    <t>配料：</t>
    <phoneticPr fontId="3" type="noConversion"/>
  </si>
  <si>
    <t>审核人：</t>
    <phoneticPr fontId="3" type="noConversion"/>
  </si>
  <si>
    <t>UV辊面</t>
    <phoneticPr fontId="3" type="noConversion"/>
  </si>
  <si>
    <t>主剂UA69225</t>
    <phoneticPr fontId="3" type="noConversion"/>
  </si>
  <si>
    <t>配料日期：</t>
    <phoneticPr fontId="3" type="noConversion"/>
  </si>
  <si>
    <t>审核日期：</t>
    <phoneticPr fontId="3" type="noConversion"/>
  </si>
  <si>
    <t>木业生产线工序交接表（橱柜油漆门板）  UV辊边工艺</t>
    <phoneticPr fontId="3" type="noConversion"/>
  </si>
  <si>
    <t>共</t>
    <phoneticPr fontId="3" type="noConversion"/>
  </si>
  <si>
    <t>套</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</si>
  <si>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</si>
  <si>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</si>
  <si>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</si>
  <si>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</si>
  <si>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</si>
  <si>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</si>
  <si>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</si>
  <si>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设计师</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</si>
  <si>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</si>
  <si>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</si>
  <si>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</si>
  <si>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</si>
  <si>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</si>
  <si>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</si>
  <si>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</si>
  <si>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</si>
  <si>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序号</t>
    <phoneticPr fontId="3" type="noConversion"/>
  </si>
  <si>
    <t>工序名称</t>
    <phoneticPr fontId="3" type="noConversion"/>
  </si>
  <si>
    <t>成品数量</t>
    <phoneticPr fontId="3" type="noConversion"/>
  </si>
  <si>
    <t>完成日期</t>
    <phoneticPr fontId="3" type="noConversion"/>
  </si>
  <si>
    <t>主机手</t>
    <phoneticPr fontId="3" type="noConversion"/>
  </si>
  <si>
    <t>质检</t>
    <phoneticPr fontId="3" type="noConversion"/>
  </si>
  <si>
    <t>备注</t>
    <phoneticPr fontId="3" type="noConversion"/>
  </si>
  <si>
    <t>下料</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</si>
  <si>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</si>
  <si>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</si>
  <si>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</si>
  <si>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</si>
  <si>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</si>
  <si>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</si>
  <si>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</si>
  <si>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</si>
  <si>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</si>
  <si>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层板铝扣条</t>
    <phoneticPr fontId="3" type="noConversion"/>
  </si>
  <si>
    <t>铝制踢脚板</t>
    <phoneticPr fontId="3" type="noConversion"/>
  </si>
  <si>
    <t>封边</t>
    <phoneticPr fontId="3" type="noConversion"/>
  </si>
  <si>
    <t>排钻</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</si>
  <si>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</si>
  <si>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</si>
  <si>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</si>
  <si>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</si>
  <si>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</si>
  <si>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</si>
  <si>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</si>
  <si>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</si>
  <si>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</si>
  <si>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</si>
  <si>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</si>
  <si>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</si>
  <si>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</si>
  <si>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</si>
  <si>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</si>
  <si>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组装</t>
    <phoneticPr fontId="3" type="noConversion"/>
  </si>
  <si>
    <t>拉篮</t>
    <phoneticPr fontId="3" type="noConversion"/>
  </si>
  <si>
    <t>小怪物</t>
    <phoneticPr fontId="3" type="noConversion"/>
  </si>
  <si>
    <t>铝框门</t>
    <phoneticPr fontId="3" type="noConversion"/>
  </si>
  <si>
    <t>门铰</t>
    <phoneticPr fontId="3" type="noConversion"/>
  </si>
  <si>
    <t>铝百叶</t>
    <phoneticPr fontId="3" type="noConversion"/>
  </si>
  <si>
    <t>安玻璃</t>
    <phoneticPr fontId="3" type="noConversion"/>
  </si>
  <si>
    <t>扣手</t>
    <phoneticPr fontId="3" type="noConversion"/>
  </si>
  <si>
    <t>封边拉手</t>
    <phoneticPr fontId="3" type="noConversion"/>
  </si>
  <si>
    <t>打包</t>
    <phoneticPr fontId="3" type="noConversion"/>
  </si>
  <si>
    <t>工艺员：</t>
    <phoneticPr fontId="3" type="noConversion"/>
  </si>
  <si>
    <t>车间负责人：</t>
    <phoneticPr fontId="3" type="noConversion"/>
  </si>
  <si>
    <r>
      <t xml:space="preserve"> </t>
    </r>
    <r>
      <rPr>
        <b/>
        <sz val="16"/>
        <rFont val="宋体"/>
        <family val="3"/>
        <charset val="134"/>
      </rPr>
      <t>（厨浴柜）门板外协加工单</t>
    </r>
    <phoneticPr fontId="59" type="noConversion"/>
  </si>
  <si>
    <t xml:space="preserve"> </t>
    <phoneticPr fontId="59" type="noConversion"/>
  </si>
  <si>
    <t>TO:</t>
    <phoneticPr fontId="59" type="noConversion"/>
  </si>
  <si>
    <t>宜美家</t>
    <phoneticPr fontId="59" type="noConversion"/>
  </si>
  <si>
    <r>
      <t>客户姓名：</t>
    </r>
    <r>
      <rPr>
        <sz val="12"/>
        <rFont val="Times New Roman"/>
        <family val="1"/>
      </rPr>
      <t xml:space="preserve">  </t>
    </r>
    <phoneticPr fontId="59" type="noConversion"/>
  </si>
  <si>
    <r>
      <t>件数</t>
    </r>
    <r>
      <rPr>
        <sz val="12"/>
        <rFont val="Times New Roman"/>
        <family val="1"/>
      </rPr>
      <t>:</t>
    </r>
    <phoneticPr fontId="59" type="noConversion"/>
  </si>
  <si>
    <t>订单编号：</t>
    <phoneticPr fontId="59" type="noConversion"/>
  </si>
  <si>
    <t>传单日期：</t>
    <phoneticPr fontId="59" type="noConversion"/>
  </si>
  <si>
    <t>交货日期：</t>
    <phoneticPr fontId="59" type="noConversion"/>
  </si>
  <si>
    <t>供货单位：</t>
    <phoneticPr fontId="59" type="noConversion"/>
  </si>
  <si>
    <t>供货传真：</t>
    <phoneticPr fontId="59" type="noConversion"/>
  </si>
  <si>
    <t>供货电话：</t>
    <phoneticPr fontId="59" type="noConversion"/>
  </si>
  <si>
    <r>
      <t>定货单位：</t>
    </r>
    <r>
      <rPr>
        <sz val="12"/>
        <rFont val="Times New Roman"/>
        <family val="1"/>
      </rPr>
      <t xml:space="preserve">               </t>
    </r>
    <phoneticPr fontId="59" type="noConversion"/>
  </si>
  <si>
    <t>收货传真：</t>
    <phoneticPr fontId="59" type="noConversion"/>
  </si>
  <si>
    <t>收货电话：</t>
    <phoneticPr fontId="59" type="noConversion"/>
  </si>
  <si>
    <r>
      <t>门板种类</t>
    </r>
    <r>
      <rPr>
        <sz val="12"/>
        <rFont val="宋体"/>
        <family val="3"/>
        <charset val="134"/>
      </rPr>
      <t>：</t>
    </r>
    <r>
      <rPr>
        <sz val="12"/>
        <rFont val="Times New Roman"/>
        <family val="1"/>
      </rPr>
      <t xml:space="preserve">     </t>
    </r>
    <phoneticPr fontId="59" type="noConversion"/>
  </si>
  <si>
    <t>门板颜色及刀型：香颂</t>
    <phoneticPr fontId="59" type="noConversion"/>
  </si>
  <si>
    <t>收货人：</t>
    <phoneticPr fontId="59" type="noConversion"/>
  </si>
  <si>
    <t>郝晓卓/冯刚强</t>
    <phoneticPr fontId="59" type="noConversion"/>
  </si>
  <si>
    <t>X</t>
    <phoneticPr fontId="59" type="noConversion"/>
  </si>
  <si>
    <t>加工刀型</t>
    <phoneticPr fontId="59" type="noConversion"/>
  </si>
  <si>
    <t>罗马柱</t>
    <phoneticPr fontId="59" type="noConversion"/>
  </si>
  <si>
    <r>
      <t>含1</t>
    </r>
    <r>
      <rPr>
        <sz val="12"/>
        <rFont val="宋体"/>
        <family val="3"/>
        <charset val="134"/>
      </rPr>
      <t>00高罗马柱础</t>
    </r>
    <phoneticPr fontId="59" type="noConversion"/>
  </si>
  <si>
    <t>踢脚板</t>
    <phoneticPr fontId="59" type="noConversion"/>
  </si>
  <si>
    <t>平板无刀型</t>
    <phoneticPr fontId="59" type="noConversion"/>
  </si>
  <si>
    <t>顶线</t>
    <phoneticPr fontId="59" type="noConversion"/>
  </si>
  <si>
    <t>烟机罩顶线</t>
    <phoneticPr fontId="59" type="noConversion"/>
  </si>
  <si>
    <t>烟机罩眉线</t>
    <phoneticPr fontId="59" type="noConversion"/>
  </si>
  <si>
    <t>备注：香颂罗马柱侧板的深度地柜为540mm吊柜为280mm</t>
    <phoneticPr fontId="59"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</si>
  <si>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59"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</si>
  <si>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</si>
  <si>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59" type="noConversion"/>
  </si>
  <si>
    <t>卡其</t>
    <phoneticPr fontId="59" type="noConversion"/>
  </si>
  <si>
    <t>北京家和佳兴家具厂</t>
    <phoneticPr fontId="59" type="noConversion"/>
  </si>
  <si>
    <t>门板颜色及刀型同罗丹单面做旧</t>
    <phoneticPr fontId="59" type="noConversion"/>
  </si>
  <si>
    <t>颜色</t>
    <phoneticPr fontId="59" type="noConversion"/>
  </si>
  <si>
    <t>X</t>
    <phoneticPr fontId="59" type="noConversion"/>
  </si>
  <si>
    <t>罗马柱</t>
    <phoneticPr fontId="59" type="noConversion"/>
  </si>
  <si>
    <t>罗马柱础</t>
    <phoneticPr fontId="59" type="noConversion"/>
  </si>
  <si>
    <t>踢脚板</t>
    <phoneticPr fontId="59" type="noConversion"/>
  </si>
  <si>
    <t>平板无刀型</t>
    <phoneticPr fontId="59" type="noConversion"/>
  </si>
  <si>
    <t>顶线</t>
    <phoneticPr fontId="59" type="noConversion"/>
  </si>
  <si>
    <t>烟机罩装饰顶线</t>
    <phoneticPr fontId="59" type="noConversion"/>
  </si>
  <si>
    <t>具体尺寸及刀型详见图纸(厚度36）</t>
    <phoneticPr fontId="59" type="noConversion"/>
  </si>
  <si>
    <t>烟机罩装饰眉板</t>
    <phoneticPr fontId="59" type="noConversion"/>
  </si>
  <si>
    <t>具体尺寸及刀型详见图纸（厚度18）</t>
    <phoneticPr fontId="59" type="noConversion"/>
  </si>
  <si>
    <t>烟机罩装饰底线</t>
    <phoneticPr fontId="59" type="noConversion"/>
  </si>
  <si>
    <t>具体尺寸及刀型详见图纸（厚度36）</t>
    <phoneticPr fontId="59"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</si>
  <si>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59" type="noConversion"/>
  </si>
  <si>
    <t>制单人：</t>
    <phoneticPr fontId="59" type="noConversion"/>
  </si>
  <si>
    <t>审核人：</t>
    <phoneticPr fontId="59" type="noConversion"/>
  </si>
  <si>
    <t>采购：</t>
    <phoneticPr fontId="59" type="noConversion"/>
  </si>
  <si>
    <t>整体厨房工艺科</t>
    <phoneticPr fontId="59" type="noConversion"/>
  </si>
  <si>
    <t>木业有限公司·工艺组</t>
    <phoneticPr fontId="59" type="noConversion"/>
  </si>
  <si>
    <t>高朋祥</t>
  </si>
  <si>
    <t>高朋祥</t>
    <phoneticPr fontId="59" type="noConversion"/>
  </si>
  <si>
    <t>高朋祥</t>
    <phoneticPr fontId="59" type="noConversion"/>
  </si>
  <si>
    <t>成品描述：</t>
    <phoneticPr fontId="3" type="noConversion"/>
  </si>
  <si>
    <t>成品编码：</t>
    <phoneticPr fontId="3" type="noConversion"/>
  </si>
  <si>
    <t>材质：</t>
    <phoneticPr fontId="3" type="noConversion"/>
  </si>
  <si>
    <t>生产线工序交接单（门板）</t>
    <phoneticPr fontId="3" type="noConversion"/>
  </si>
  <si>
    <t>12*1220*2440</t>
    <phoneticPr fontId="3" type="noConversion"/>
  </si>
  <si>
    <t>素高林E1级中密度</t>
    <phoneticPr fontId="3" type="noConversion"/>
  </si>
  <si>
    <t>3*1220*2440</t>
  </si>
  <si>
    <t>暖白双贴三聚氰胺E1级中密度板</t>
  </si>
  <si>
    <t>自攻钉3.5*12</t>
    <phoneticPr fontId="3" type="noConversion"/>
  </si>
  <si>
    <t>个</t>
    <phoneticPr fontId="3" type="noConversion"/>
  </si>
  <si>
    <t>PU面漆（手工喷涂）</t>
  </si>
  <si>
    <t>主剂86003</t>
  </si>
  <si>
    <t>固化剂PR86</t>
  </si>
  <si>
    <t>PX903/稀料PX904</t>
  </si>
  <si>
    <t>古典镜子</t>
    <phoneticPr fontId="91" type="noConversion"/>
  </si>
  <si>
    <t>整板铣型，严格按照技术部下发图纸加工</t>
    <phoneticPr fontId="91" type="noConversion"/>
  </si>
  <si>
    <t>按技术部下发文件加工</t>
    <phoneticPr fontId="91" type="noConversion"/>
  </si>
  <si>
    <t>汉高真空吸塑胶IS205（固化剂）1千克/瓶</t>
    <phoneticPr fontId="46" type="noConversion"/>
  </si>
  <si>
    <t>家具班组转序交接表</t>
    <phoneticPr fontId="23" type="noConversion"/>
  </si>
  <si>
    <t>客户姓名</t>
    <phoneticPr fontId="23" type="noConversion"/>
  </si>
  <si>
    <t>订单编号</t>
    <phoneticPr fontId="23" type="noConversion"/>
  </si>
  <si>
    <t>接单日期</t>
    <phoneticPr fontId="23" type="noConversion"/>
  </si>
  <si>
    <t>款式名称</t>
    <phoneticPr fontId="23" type="noConversion"/>
  </si>
  <si>
    <t>材质/色号</t>
    <phoneticPr fontId="23" type="noConversion"/>
  </si>
  <si>
    <t>下单日期</t>
    <phoneticPr fontId="23" type="noConversion"/>
  </si>
  <si>
    <t>销售点</t>
    <phoneticPr fontId="23" type="noConversion"/>
  </si>
  <si>
    <t>版本型号录号</t>
    <phoneticPr fontId="23" type="noConversion"/>
  </si>
  <si>
    <t>应完成日期</t>
    <phoneticPr fontId="23" type="noConversion"/>
  </si>
  <si>
    <t>产品系列</t>
    <phoneticPr fontId="23" type="noConversion"/>
  </si>
  <si>
    <t>实木</t>
    <phoneticPr fontId="23" type="noConversion"/>
  </si>
  <si>
    <t>混油</t>
    <phoneticPr fontId="23" type="noConversion"/>
  </si>
  <si>
    <t>清油</t>
    <phoneticPr fontId="23" type="noConversion"/>
  </si>
  <si>
    <t>吸塑</t>
    <phoneticPr fontId="23" type="noConversion"/>
  </si>
  <si>
    <t>免漆</t>
    <phoneticPr fontId="23" type="noConversion"/>
  </si>
  <si>
    <t>铝框</t>
    <phoneticPr fontId="23" type="noConversion"/>
  </si>
  <si>
    <t>标准地柜</t>
    <phoneticPr fontId="23" type="noConversion"/>
  </si>
  <si>
    <t>标准吊柜</t>
    <phoneticPr fontId="23" type="noConversion"/>
  </si>
  <si>
    <t>生产周期</t>
    <phoneticPr fontId="23" type="noConversion"/>
  </si>
  <si>
    <t>序号</t>
    <phoneticPr fontId="23" type="noConversion"/>
  </si>
  <si>
    <t>工段班组</t>
    <phoneticPr fontId="23" type="noConversion"/>
  </si>
  <si>
    <t>工序名称</t>
    <phoneticPr fontId="23" type="noConversion"/>
  </si>
  <si>
    <t>成品数量</t>
    <phoneticPr fontId="23" type="noConversion"/>
  </si>
  <si>
    <t>单位</t>
    <phoneticPr fontId="23" type="noConversion"/>
  </si>
  <si>
    <t>完成日期</t>
    <phoneticPr fontId="23" type="noConversion"/>
  </si>
  <si>
    <t>主机手</t>
    <phoneticPr fontId="23" type="noConversion"/>
  </si>
  <si>
    <t>质检</t>
    <phoneticPr fontId="23" type="noConversion"/>
  </si>
  <si>
    <t>备注</t>
    <phoneticPr fontId="23" type="noConversion"/>
  </si>
  <si>
    <t>橱柜线</t>
    <phoneticPr fontId="23" type="noConversion"/>
  </si>
  <si>
    <t>下料组</t>
    <phoneticPr fontId="23" type="noConversion"/>
  </si>
  <si>
    <t>块</t>
    <phoneticPr fontId="23" type="noConversion"/>
  </si>
  <si>
    <t>封边组</t>
  </si>
  <si>
    <t>钻铣组1</t>
    <phoneticPr fontId="23" type="noConversion"/>
  </si>
  <si>
    <t>家具线</t>
    <phoneticPr fontId="23" type="noConversion"/>
  </si>
  <si>
    <t>钻铣组2</t>
    <phoneticPr fontId="23" type="noConversion"/>
  </si>
  <si>
    <t>门板线</t>
    <phoneticPr fontId="23" type="noConversion"/>
  </si>
  <si>
    <t>下料冷压封边组</t>
    <phoneticPr fontId="23" type="noConversion"/>
  </si>
  <si>
    <t>钻铣组3</t>
    <phoneticPr fontId="23" type="noConversion"/>
  </si>
  <si>
    <t>吸塑线</t>
    <phoneticPr fontId="23" type="noConversion"/>
  </si>
  <si>
    <t>机加组</t>
    <phoneticPr fontId="23" type="noConversion"/>
  </si>
  <si>
    <t>吸塑组</t>
    <phoneticPr fontId="23" type="noConversion"/>
  </si>
  <si>
    <t>打磨组</t>
    <phoneticPr fontId="23" type="noConversion"/>
  </si>
  <si>
    <t>铝材拼框组</t>
    <phoneticPr fontId="23" type="noConversion"/>
  </si>
  <si>
    <t>试装线</t>
    <phoneticPr fontId="23" type="noConversion"/>
  </si>
  <si>
    <t>橱柜试装组</t>
    <phoneticPr fontId="23" type="noConversion"/>
  </si>
  <si>
    <t>延米</t>
    <phoneticPr fontId="23" type="noConversion"/>
  </si>
  <si>
    <t>衣帽间试装组</t>
    <phoneticPr fontId="23" type="noConversion"/>
  </si>
  <si>
    <t>平米</t>
    <phoneticPr fontId="23" type="noConversion"/>
  </si>
  <si>
    <t>五金配套组</t>
    <phoneticPr fontId="23" type="noConversion"/>
  </si>
  <si>
    <t>单</t>
    <phoneticPr fontId="23" type="noConversion"/>
  </si>
  <si>
    <t>家具高光线</t>
    <phoneticPr fontId="23" type="noConversion"/>
  </si>
  <si>
    <t>机涂组</t>
    <phoneticPr fontId="23" type="noConversion"/>
  </si>
  <si>
    <t>平米</t>
    <phoneticPr fontId="23" type="noConversion"/>
  </si>
  <si>
    <t>高光喷漆组</t>
    <phoneticPr fontId="23" type="noConversion"/>
  </si>
  <si>
    <t>包装线</t>
    <phoneticPr fontId="23" type="noConversion"/>
  </si>
  <si>
    <t>家具包装组</t>
    <phoneticPr fontId="23" type="noConversion"/>
  </si>
  <si>
    <t>块</t>
    <phoneticPr fontId="23" type="noConversion"/>
  </si>
  <si>
    <t>玻璃门</t>
    <phoneticPr fontId="46" type="noConversion"/>
  </si>
  <si>
    <t>玻璃平米</t>
    <phoneticPr fontId="46" type="noConversion"/>
  </si>
  <si>
    <t>内门线</t>
    <phoneticPr fontId="3" type="noConversion"/>
  </si>
  <si>
    <t>混油打磨组</t>
    <phoneticPr fontId="3" type="noConversion"/>
  </si>
  <si>
    <t>平米</t>
    <phoneticPr fontId="23" type="noConversion"/>
  </si>
  <si>
    <t>清油打磨组</t>
    <phoneticPr fontId="3" type="noConversion"/>
  </si>
  <si>
    <t>生产类型</t>
    <phoneticPr fontId="3" type="noConversion"/>
  </si>
  <si>
    <t>厨浴柜</t>
    <phoneticPr fontId="3" type="noConversion"/>
  </si>
  <si>
    <t>吸塑膜</t>
    <phoneticPr fontId="46" type="noConversion"/>
  </si>
  <si>
    <t>吸塑胶</t>
    <phoneticPr fontId="46" type="noConversion"/>
  </si>
  <si>
    <t>门板平米</t>
    <phoneticPr fontId="46" type="noConversion"/>
  </si>
  <si>
    <t>吸塑平米</t>
    <phoneticPr fontId="46" type="noConversion"/>
  </si>
  <si>
    <t>门板张数</t>
    <phoneticPr fontId="46" type="noConversion"/>
  </si>
  <si>
    <t>门板压条</t>
    <phoneticPr fontId="46" type="noConversion"/>
  </si>
  <si>
    <t>玉砂玻璃</t>
  </si>
  <si>
    <t>透明玻璃</t>
    <phoneticPr fontId="46" type="noConversion"/>
  </si>
  <si>
    <t>玉砂玻璃</t>
    <phoneticPr fontId="46" type="noConversion"/>
  </si>
  <si>
    <t>水银镜</t>
    <phoneticPr fontId="46" type="noConversion"/>
  </si>
  <si>
    <t>玻璃压条</t>
    <phoneticPr fontId="46" type="noConversion"/>
  </si>
  <si>
    <t>波音软片</t>
    <phoneticPr fontId="46" type="noConversion"/>
  </si>
  <si>
    <t>木皮线</t>
    <phoneticPr fontId="23" type="noConversion"/>
  </si>
  <si>
    <t>裁切木皮组</t>
    <phoneticPr fontId="23" type="noConversion"/>
  </si>
  <si>
    <t>块</t>
    <phoneticPr fontId="23" type="noConversion"/>
  </si>
  <si>
    <t>拉米诺挂件UNO30</t>
    <phoneticPr fontId="3" type="noConversion"/>
  </si>
  <si>
    <t>米</t>
    <phoneticPr fontId="46" type="noConversion"/>
  </si>
  <si>
    <t>拉手类型</t>
    <phoneticPr fontId="3" type="noConversion"/>
  </si>
  <si>
    <t>香草天空Ⅱ</t>
    <phoneticPr fontId="46" type="noConversion"/>
  </si>
  <si>
    <t>现代</t>
    <phoneticPr fontId="3" type="noConversion"/>
  </si>
  <si>
    <t>款式减尺</t>
    <phoneticPr fontId="3" type="noConversion"/>
  </si>
  <si>
    <t>最终减尺规则</t>
    <phoneticPr fontId="3" type="noConversion"/>
  </si>
  <si>
    <t>古典-直边</t>
    <phoneticPr fontId="3" type="noConversion"/>
  </si>
  <si>
    <t>门板因横竖纹问题更改减尺时，请工艺自行更改</t>
    <phoneticPr fontId="3" type="noConversion"/>
  </si>
  <si>
    <t>通长铝拉手</t>
  </si>
  <si>
    <t>浮士德</t>
    <phoneticPr fontId="46" type="noConversion"/>
  </si>
  <si>
    <t>古典-弧边</t>
    <phoneticPr fontId="3" type="noConversion"/>
  </si>
  <si>
    <t>无拉手装饰板</t>
    <phoneticPr fontId="3" type="noConversion"/>
  </si>
  <si>
    <t>支</t>
    <phoneticPr fontId="46" type="noConversion"/>
  </si>
  <si>
    <t>半成品</t>
    <phoneticPr fontId="3" type="noConversion"/>
  </si>
  <si>
    <t>镜子背板12mm</t>
    <phoneticPr fontId="91" type="noConversion"/>
  </si>
  <si>
    <t>如有材质、颜色、尺寸不明请和工艺组联系并确认！  分机电话：2207</t>
    <phoneticPr fontId="46" type="noConversion"/>
  </si>
  <si>
    <t>3mm背板</t>
    <phoneticPr fontId="91" type="noConversion"/>
  </si>
  <si>
    <t>门板生产作业单</t>
    <phoneticPr fontId="46" type="noConversion"/>
  </si>
  <si>
    <t>销售点</t>
    <phoneticPr fontId="3" type="noConversion"/>
  </si>
  <si>
    <t>订单编号</t>
    <phoneticPr fontId="46" type="noConversion"/>
  </si>
  <si>
    <t>总数量</t>
    <phoneticPr fontId="46" type="noConversion"/>
  </si>
  <si>
    <t>产品类型</t>
    <phoneticPr fontId="3" type="noConversion"/>
  </si>
  <si>
    <t>厨柜</t>
    <phoneticPr fontId="3" type="noConversion"/>
  </si>
  <si>
    <t>下单日期</t>
    <phoneticPr fontId="3" type="noConversion"/>
  </si>
  <si>
    <t>款式</t>
    <phoneticPr fontId="3" type="noConversion"/>
  </si>
  <si>
    <t>P02米黄</t>
    <phoneticPr fontId="3" type="noConversion"/>
  </si>
  <si>
    <t>门板描述</t>
    <phoneticPr fontId="46" type="noConversion"/>
  </si>
  <si>
    <t>此单分下料尺寸和成型尺寸2种，请生产各工段注意！</t>
    <phoneticPr fontId="3" type="noConversion"/>
  </si>
  <si>
    <t>加工备注</t>
    <phoneticPr fontId="46" type="noConversion"/>
  </si>
  <si>
    <t>材料备注</t>
    <phoneticPr fontId="46" type="noConversion"/>
  </si>
  <si>
    <t>名称</t>
    <phoneticPr fontId="3" type="noConversion"/>
  </si>
  <si>
    <t>厚度</t>
    <phoneticPr fontId="3" type="noConversion"/>
  </si>
  <si>
    <t>备注</t>
    <phoneticPr fontId="3" type="noConversion"/>
  </si>
  <si>
    <t>成型尺寸</t>
    <phoneticPr fontId="3" type="noConversion"/>
  </si>
  <si>
    <t>销售点</t>
    <phoneticPr fontId="46" type="noConversion"/>
  </si>
  <si>
    <t>物料描述</t>
    <phoneticPr fontId="46" type="noConversion"/>
  </si>
  <si>
    <t>配料日期：</t>
    <phoneticPr fontId="46" type="noConversion"/>
  </si>
  <si>
    <t>领料单——</t>
    <phoneticPr fontId="3" type="noConversion"/>
  </si>
  <si>
    <t>材料名称</t>
    <phoneticPr fontId="3" type="noConversion"/>
  </si>
  <si>
    <t>型号、规格</t>
    <phoneticPr fontId="3" type="noConversion"/>
  </si>
  <si>
    <t>5*1830*2440</t>
    <phoneticPr fontId="46" type="noConversion"/>
  </si>
  <si>
    <t>普施宝免钉胶</t>
    <phoneticPr fontId="46" type="noConversion"/>
  </si>
  <si>
    <t>配料：</t>
    <phoneticPr fontId="46" type="noConversion"/>
  </si>
  <si>
    <t>出材率</t>
    <phoneticPr fontId="46" type="noConversion"/>
  </si>
  <si>
    <t>吸塑膜规格</t>
    <phoneticPr fontId="3" type="noConversion"/>
  </si>
  <si>
    <t>P02米黄</t>
    <phoneticPr fontId="46" type="noConversion"/>
  </si>
  <si>
    <t>米黄麻单贴三聚氰胺E1级镂铣中密度板18*1220*2440</t>
    <phoneticPr fontId="46" type="noConversion"/>
  </si>
  <si>
    <t>米黄麻玻璃压条</t>
    <phoneticPr fontId="46" type="noConversion"/>
  </si>
  <si>
    <t>0.35*1450</t>
    <phoneticPr fontId="3" type="noConversion"/>
  </si>
  <si>
    <t>米黄麻单贴三聚氰胺E1级镂铣中密度板25*1220*2440</t>
    <phoneticPr fontId="46" type="noConversion"/>
  </si>
  <si>
    <t>P01月牙白</t>
    <phoneticPr fontId="46" type="noConversion"/>
  </si>
  <si>
    <t>暖白单贴三聚氰胺E1级镂铣中密度板18*1220*2440</t>
    <phoneticPr fontId="46" type="noConversion"/>
  </si>
  <si>
    <t>暖白单贴三聚氰胺E1级镂铣中密度板25*1220*2440</t>
    <phoneticPr fontId="46" type="noConversion"/>
  </si>
  <si>
    <t>P08 樱桃色(开门竖纹）（抽屉和翻门为横纹）</t>
    <phoneticPr fontId="46" type="noConversion"/>
  </si>
  <si>
    <t>触感红樱桃单贴三聚氰胺E1级镂铣中密度板18*1220*2440</t>
    <phoneticPr fontId="46" type="noConversion"/>
  </si>
  <si>
    <t>触感红樱桃单贴三聚氰胺E1级镂铣中密度板25*1220*2440</t>
    <phoneticPr fontId="46" type="noConversion"/>
  </si>
  <si>
    <t>P10珠光木纹(开门竖纹）（抽屉和翻门为横纹）/镜框竖纹</t>
    <phoneticPr fontId="3" type="noConversion"/>
  </si>
  <si>
    <t>暖白单贴三聚氰胺E1级镂铣中密度板18*1220*2440</t>
    <phoneticPr fontId="3" type="noConversion"/>
  </si>
  <si>
    <t>0.35*1400</t>
    <phoneticPr fontId="3" type="noConversion"/>
  </si>
  <si>
    <t>P11银灰色木纹(开门竖纹）（抽屉和翻门为横纹）/镜框竖纹</t>
    <phoneticPr fontId="3" type="noConversion"/>
  </si>
  <si>
    <t>暖白单贴三聚氰胺E1级镂铣中密度板18*1220*2440</t>
    <phoneticPr fontId="3" type="noConversion"/>
  </si>
  <si>
    <t>0.35*1400</t>
    <phoneticPr fontId="3" type="noConversion"/>
  </si>
  <si>
    <t>暖白单贴三聚氰胺E1级镂铣中密度板25*1220*2440</t>
    <phoneticPr fontId="46" type="noConversion"/>
  </si>
  <si>
    <t>P12金色木纹(开门竖纹）（抽屉和翻门为横纹）/镜框竖纹</t>
    <phoneticPr fontId="3" type="noConversion"/>
  </si>
  <si>
    <t>P13金色细木纹(开门竖纹）（抽屉和翻门为横纹）</t>
    <phoneticPr fontId="3" type="noConversion"/>
  </si>
  <si>
    <t>P14浅蓝木纹(开门竖纹）（抽屉和翻门为横纹）/镜框竖纹</t>
    <phoneticPr fontId="3" type="noConversion"/>
  </si>
  <si>
    <t>P17胡桃木纹(开门竖纹）（抽屉和翻门为横纹）/镜框竖纹</t>
    <phoneticPr fontId="3" type="noConversion"/>
  </si>
  <si>
    <t>装箱清单</t>
    <phoneticPr fontId="46" type="noConversion"/>
  </si>
  <si>
    <t>（米黄）</t>
    <phoneticPr fontId="46" type="noConversion"/>
  </si>
  <si>
    <t>（银灰）</t>
    <phoneticPr fontId="46" type="noConversion"/>
  </si>
  <si>
    <t>（樱桃）</t>
    <phoneticPr fontId="46" type="noConversion"/>
  </si>
  <si>
    <t>（银灰）</t>
    <phoneticPr fontId="3" type="noConversion"/>
  </si>
  <si>
    <t>红樱桃玻璃压条</t>
    <phoneticPr fontId="3" type="noConversion"/>
  </si>
  <si>
    <t>顶线2440*83*22(单贴)</t>
    <phoneticPr fontId="46" type="noConversion"/>
  </si>
  <si>
    <t>花线2440*60*18(单贴)</t>
    <phoneticPr fontId="46" type="noConversion"/>
  </si>
  <si>
    <t>米黄麻吸塑膜0.35MM*1450MM(YEL2959)</t>
    <phoneticPr fontId="46" type="noConversion"/>
  </si>
  <si>
    <t>月牙白吸塑膜0.35MM*1450MM（WAK2559)</t>
    <phoneticPr fontId="46" type="noConversion"/>
  </si>
  <si>
    <t>樱桃吸塑膜0.35mm*1450mm（W2106S1）</t>
    <phoneticPr fontId="3" type="noConversion"/>
  </si>
  <si>
    <t>珠光木纹吸塑膜0.35*1400（SF10017-22PC）</t>
    <phoneticPr fontId="3" type="noConversion"/>
  </si>
  <si>
    <t>银灰色木纹吸塑膜0.35*1400（SF20187-773GMPC）</t>
    <phoneticPr fontId="3" type="noConversion"/>
  </si>
  <si>
    <t>金色木纹吸塑膜0.35*1400（SF20187-765GMPC）</t>
    <phoneticPr fontId="3" type="noConversion"/>
  </si>
  <si>
    <t>金色细木纹吸塑膜0.35*1400(SF10073-71GSMPC)</t>
    <phoneticPr fontId="3" type="noConversion"/>
  </si>
  <si>
    <t>浅蓝木纹吸塑膜0.35*1400(WF36210-28PC)</t>
    <phoneticPr fontId="3" type="noConversion"/>
  </si>
  <si>
    <t>胡桃木纹吸塑膜0.35*1400(WF14504-79PC)</t>
    <phoneticPr fontId="3" type="noConversion"/>
  </si>
  <si>
    <t>汉高真空吸塑胶FD3139（主剂）20千克/桶</t>
    <phoneticPr fontId="46" type="noConversion"/>
  </si>
  <si>
    <t>米黄麻</t>
    <phoneticPr fontId="46" type="noConversion"/>
  </si>
  <si>
    <t>月牙白</t>
  </si>
  <si>
    <t>月牙白</t>
    <phoneticPr fontId="46" type="noConversion"/>
  </si>
  <si>
    <t>樱桃</t>
    <phoneticPr fontId="46" type="noConversion"/>
  </si>
  <si>
    <t>素罗马柱方块42*42*18</t>
    <phoneticPr fontId="46" type="noConversion"/>
  </si>
  <si>
    <t>铝拉手（氧化铝XY-156）LC-003（3米/支）</t>
    <phoneticPr fontId="46" type="noConversion"/>
  </si>
  <si>
    <t>罗马柱基60*50*23(单贴)</t>
    <phoneticPr fontId="46" type="noConversion"/>
  </si>
  <si>
    <t>罗马柱基100*50*23(单贴)</t>
    <phoneticPr fontId="46" type="noConversion"/>
  </si>
  <si>
    <t>拆解人</t>
    <phoneticPr fontId="46" type="noConversion"/>
  </si>
  <si>
    <t>拆解人</t>
    <phoneticPr fontId="46" type="noConversion"/>
  </si>
</sst>
</file>

<file path=xl/styles.xml><?xml version="1.0" encoding="utf-8"?>
<styleSheet xmlns="http://schemas.openxmlformats.org/spreadsheetml/2006/main">
  <numFmts count="8">
    <numFmt numFmtId="176" formatCode="0_ "/>
    <numFmt numFmtId="177" formatCode="0.00_ "/>
    <numFmt numFmtId="178" formatCode="0.0_ "/>
    <numFmt numFmtId="179" formatCode="yyyy&quot;年&quot;m&quot;月&quot;d&quot;日&quot;;@"/>
    <numFmt numFmtId="180" formatCode="[$-F800]dddd\,\ mmmm\ dd\,\ yyyy"/>
    <numFmt numFmtId="181" formatCode="0.0_);[Red]\(0.0\)"/>
    <numFmt numFmtId="182" formatCode="0.00_);[Red]\(0.00\)"/>
    <numFmt numFmtId="183" formatCode="0.0"/>
  </numFmts>
  <fonts count="108">
    <font>
      <sz val="12"/>
      <name val="宋体"/>
      <charset val="134"/>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4"/>
      <name val="华文行楷"/>
      <family val="3"/>
      <charset val="134"/>
    </font>
    <font>
      <sz val="16"/>
      <name val="宋体"/>
      <family val="3"/>
      <charset val="134"/>
    </font>
    <font>
      <sz val="12"/>
      <name val="宋体"/>
      <family val="3"/>
      <charset val="134"/>
    </font>
    <font>
      <sz val="9"/>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sz val="9"/>
      <name val="宋体"/>
      <family val="3"/>
      <charset val="134"/>
    </font>
    <font>
      <b/>
      <sz val="11"/>
      <color theme="1"/>
      <name val="宋体"/>
      <family val="3"/>
      <charset val="134"/>
      <scheme val="minor"/>
    </font>
    <font>
      <sz val="11"/>
      <name val="宋体"/>
      <family val="3"/>
      <charset val="134"/>
      <scheme val="minor"/>
    </font>
    <font>
      <b/>
      <sz val="9"/>
      <color indexed="81"/>
      <name val="宋体"/>
      <family val="3"/>
      <charset val="134"/>
    </font>
    <font>
      <b/>
      <sz val="9"/>
      <color indexed="81"/>
      <name val="Tahoma"/>
      <family val="2"/>
    </font>
    <font>
      <sz val="9"/>
      <color rgb="FFFF0000"/>
      <name val="宋体"/>
      <family val="3"/>
      <charset val="134"/>
    </font>
    <font>
      <sz val="9"/>
      <color theme="2" tint="-9.9978637043366805E-2"/>
      <name val="宋体"/>
      <family val="3"/>
      <charset val="134"/>
    </font>
    <font>
      <b/>
      <sz val="14"/>
      <name val="微软雅黑"/>
      <family val="2"/>
      <charset val="134"/>
    </font>
    <font>
      <sz val="10"/>
      <name val="微软雅黑"/>
      <family val="2"/>
      <charset val="134"/>
    </font>
    <font>
      <sz val="10"/>
      <color indexed="10"/>
      <name val="微软雅黑"/>
      <family val="2"/>
      <charset val="134"/>
    </font>
    <font>
      <b/>
      <shadow/>
      <sz val="10"/>
      <color rgb="FFF4F1E3"/>
      <name val="微软雅黑"/>
      <family val="2"/>
      <charset val="134"/>
    </font>
    <font>
      <b/>
      <sz val="10"/>
      <color rgb="FFFF0000"/>
      <name val="微软雅黑"/>
      <family val="2"/>
      <charset val="134"/>
    </font>
    <font>
      <sz val="10"/>
      <color rgb="FF0070C0"/>
      <name val="微软雅黑"/>
      <family val="2"/>
      <charset val="134"/>
    </font>
    <font>
      <sz val="10"/>
      <color rgb="FFFF0000"/>
      <name val="微软雅黑"/>
      <family val="2"/>
      <charset val="134"/>
    </font>
    <font>
      <sz val="9"/>
      <name val="微软雅黑"/>
      <family val="2"/>
      <charset val="134"/>
    </font>
    <font>
      <sz val="9"/>
      <color rgb="FFFF0000"/>
      <name val="微软雅黑"/>
      <family val="2"/>
      <charset val="134"/>
    </font>
    <font>
      <sz val="9"/>
      <color theme="1"/>
      <name val="微软雅黑"/>
      <family val="2"/>
      <charset val="134"/>
    </font>
  </fonts>
  <fills count="2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right/>
      <top style="hair">
        <color indexed="64"/>
      </top>
      <bottom/>
      <diagonal/>
    </border>
  </borders>
  <cellStyleXfs count="40">
    <xf numFmtId="0" fontId="0" fillId="0" borderId="0">
      <alignment vertical="center"/>
    </xf>
    <xf numFmtId="0" fontId="2" fillId="0" borderId="0"/>
    <xf numFmtId="0" fontId="20" fillId="0" borderId="0">
      <alignment vertical="center"/>
    </xf>
    <xf numFmtId="0" fontId="2" fillId="0" borderId="0">
      <alignment vertical="center"/>
    </xf>
    <xf numFmtId="0" fontId="30" fillId="0" borderId="0"/>
    <xf numFmtId="0" fontId="30" fillId="0" borderId="0">
      <alignment vertical="center"/>
    </xf>
    <xf numFmtId="0" fontId="34" fillId="4" borderId="0" applyNumberFormat="0" applyBorder="0" applyAlignment="0" applyProtection="0">
      <alignment vertical="center"/>
    </xf>
    <xf numFmtId="0" fontId="30" fillId="0" borderId="0"/>
    <xf numFmtId="0" fontId="30" fillId="0" borderId="0"/>
    <xf numFmtId="0" fontId="30" fillId="0" borderId="0"/>
    <xf numFmtId="0" fontId="30" fillId="0" borderId="0"/>
    <xf numFmtId="0" fontId="35" fillId="0" borderId="0">
      <alignment vertical="center"/>
    </xf>
    <xf numFmtId="0" fontId="36" fillId="0" borderId="0">
      <alignment vertical="center"/>
    </xf>
    <xf numFmtId="0" fontId="30"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0" fillId="0" borderId="0"/>
    <xf numFmtId="0" fontId="36" fillId="0" borderId="0">
      <alignment vertical="center"/>
    </xf>
    <xf numFmtId="0" fontId="35" fillId="0" borderId="0">
      <alignment vertical="center"/>
    </xf>
    <xf numFmtId="0" fontId="35" fillId="0" borderId="0">
      <alignment vertical="center"/>
    </xf>
    <xf numFmtId="0" fontId="38" fillId="5" borderId="0" applyNumberFormat="0" applyBorder="0" applyAlignment="0" applyProtection="0">
      <alignment vertical="center"/>
    </xf>
    <xf numFmtId="0" fontId="38" fillId="5" borderId="0" applyNumberFormat="0" applyBorder="0" applyAlignment="0" applyProtection="0">
      <alignment vertical="center"/>
    </xf>
    <xf numFmtId="0" fontId="1" fillId="0" borderId="0">
      <alignment vertical="center"/>
    </xf>
    <xf numFmtId="0" fontId="45" fillId="0" borderId="0"/>
    <xf numFmtId="0" fontId="52" fillId="0" borderId="0">
      <alignment vertical="center"/>
    </xf>
    <xf numFmtId="0" fontId="45" fillId="0" borderId="0"/>
    <xf numFmtId="0" fontId="45" fillId="0" borderId="0">
      <alignment vertical="center"/>
    </xf>
    <xf numFmtId="0" fontId="45" fillId="0" borderId="0"/>
    <xf numFmtId="0" fontId="2" fillId="0" borderId="0"/>
    <xf numFmtId="0" fontId="58" fillId="0" borderId="0"/>
    <xf numFmtId="0" fontId="58" fillId="0" borderId="0">
      <alignment vertical="center"/>
    </xf>
    <xf numFmtId="0" fontId="58" fillId="0" borderId="0"/>
    <xf numFmtId="0" fontId="58" fillId="0" borderId="0"/>
    <xf numFmtId="0" fontId="37" fillId="0" borderId="0">
      <alignment vertical="center"/>
    </xf>
    <xf numFmtId="0" fontId="58" fillId="0" borderId="0"/>
    <xf numFmtId="0" fontId="2" fillId="0" borderId="0"/>
  </cellStyleXfs>
  <cellXfs count="1102">
    <xf numFmtId="0" fontId="0" fillId="0" borderId="0" xfId="0">
      <alignment vertical="center"/>
    </xf>
    <xf numFmtId="0" fontId="0" fillId="0" borderId="1" xfId="0" applyBorder="1">
      <alignment vertical="center"/>
    </xf>
    <xf numFmtId="0" fontId="2" fillId="0" borderId="0" xfId="1"/>
    <xf numFmtId="49" fontId="2" fillId="0" borderId="0" xfId="1" applyNumberFormat="1"/>
    <xf numFmtId="0" fontId="0" fillId="0" borderId="0" xfId="0" applyAlignment="1"/>
    <xf numFmtId="0" fontId="0" fillId="0" borderId="0" xfId="0" applyAlignment="1" applyProtection="1">
      <protection locked="0"/>
    </xf>
    <xf numFmtId="0" fontId="2" fillId="0" borderId="1" xfId="0" applyFont="1" applyBorder="1" applyAlignment="1">
      <alignment horizontal="center" vertical="center"/>
    </xf>
    <xf numFmtId="0" fontId="14" fillId="0" borderId="0" xfId="0" applyFont="1">
      <alignment vertical="center"/>
    </xf>
    <xf numFmtId="0" fontId="14" fillId="0" borderId="0" xfId="0" applyFont="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6" fillId="0" borderId="1" xfId="0" applyFont="1" applyBorder="1" applyAlignment="1">
      <alignment horizontal="center" vertical="center"/>
    </xf>
    <xf numFmtId="0" fontId="1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Border="1" applyAlignment="1">
      <alignment horizontal="center" vertical="center"/>
    </xf>
    <xf numFmtId="0" fontId="14" fillId="0" borderId="17" xfId="0" applyFont="1" applyBorder="1" applyAlignment="1">
      <alignment horizontal="center" vertical="center"/>
    </xf>
    <xf numFmtId="0" fontId="14" fillId="0" borderId="0" xfId="0" applyFont="1" applyBorder="1" applyAlignment="1">
      <alignment horizontal="right" vertical="center"/>
    </xf>
    <xf numFmtId="0" fontId="17" fillId="0" borderId="0" xfId="0" applyFont="1" applyAlignment="1">
      <alignment horizontal="center" vertical="center"/>
    </xf>
    <xf numFmtId="0" fontId="0" fillId="0" borderId="1" xfId="0" applyFill="1" applyBorder="1" applyAlignment="1">
      <alignment horizontal="center" vertical="center"/>
    </xf>
    <xf numFmtId="0" fontId="21" fillId="0" borderId="0" xfId="2" applyFont="1" applyFill="1" applyBorder="1" applyAlignment="1">
      <alignment vertical="center"/>
    </xf>
    <xf numFmtId="0" fontId="22" fillId="0" borderId="0" xfId="2" applyFont="1" applyFill="1" applyAlignment="1">
      <alignment horizontal="center" vertical="center"/>
    </xf>
    <xf numFmtId="0" fontId="22" fillId="0" borderId="0" xfId="2" applyFont="1" applyFill="1">
      <alignment vertical="center"/>
    </xf>
    <xf numFmtId="0" fontId="21" fillId="0" borderId="0" xfId="2" applyFont="1" applyFill="1" applyBorder="1" applyAlignment="1">
      <alignment horizontal="center" vertical="center"/>
    </xf>
    <xf numFmtId="0" fontId="24" fillId="0" borderId="13" xfId="2" applyFont="1" applyFill="1" applyBorder="1" applyAlignment="1">
      <alignment horizontal="center" vertical="center"/>
    </xf>
    <xf numFmtId="0" fontId="24" fillId="0" borderId="14" xfId="2" applyFont="1" applyFill="1" applyBorder="1" applyAlignment="1">
      <alignment horizontal="center" vertical="center"/>
    </xf>
    <xf numFmtId="0" fontId="24" fillId="0" borderId="43" xfId="2" applyFont="1" applyFill="1" applyBorder="1" applyAlignment="1">
      <alignment horizontal="center" vertical="center" wrapText="1"/>
    </xf>
    <xf numFmtId="0" fontId="26" fillId="0" borderId="44"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2" fillId="0" borderId="0" xfId="2" applyFont="1" applyFill="1" applyBorder="1" applyAlignment="1">
      <alignment horizontal="center" vertical="center"/>
    </xf>
    <xf numFmtId="0" fontId="22" fillId="0" borderId="31" xfId="2" applyFont="1" applyFill="1" applyBorder="1" applyAlignment="1">
      <alignment horizontal="left" vertical="center"/>
    </xf>
    <xf numFmtId="0" fontId="22" fillId="0" borderId="33" xfId="2" applyFont="1" applyFill="1" applyBorder="1" applyAlignment="1">
      <alignment horizontal="center" vertical="center"/>
    </xf>
    <xf numFmtId="0" fontId="22" fillId="0" borderId="49" xfId="2" applyFont="1" applyFill="1" applyBorder="1" applyAlignment="1">
      <alignment horizontal="center" vertical="center" wrapText="1"/>
    </xf>
    <xf numFmtId="0" fontId="22" fillId="0" borderId="9" xfId="2" applyFont="1" applyFill="1" applyBorder="1" applyAlignment="1">
      <alignment horizontal="left" vertical="center"/>
    </xf>
    <xf numFmtId="0" fontId="22" fillId="0" borderId="6" xfId="2" applyFont="1" applyFill="1" applyBorder="1" applyAlignment="1">
      <alignment horizontal="left" vertical="center"/>
    </xf>
    <xf numFmtId="0" fontId="20" fillId="0" borderId="1" xfId="2" applyFill="1" applyBorder="1" applyAlignment="1">
      <alignment horizontal="center" vertical="center"/>
    </xf>
    <xf numFmtId="0" fontId="20" fillId="0" borderId="3" xfId="2" applyFill="1" applyBorder="1" applyAlignment="1">
      <alignment horizontal="center" vertical="center"/>
    </xf>
    <xf numFmtId="177" fontId="20" fillId="0" borderId="50" xfId="2" applyNumberFormat="1" applyFill="1" applyBorder="1" applyAlignment="1">
      <alignment horizontal="right" vertical="center" wrapText="1"/>
    </xf>
    <xf numFmtId="177" fontId="20" fillId="0" borderId="51" xfId="2" applyNumberFormat="1" applyFill="1" applyBorder="1" applyAlignment="1">
      <alignment horizontal="right" vertical="center" wrapText="1"/>
    </xf>
    <xf numFmtId="177" fontId="20" fillId="0" borderId="39" xfId="2" applyNumberFormat="1" applyFill="1" applyBorder="1" applyAlignment="1">
      <alignment horizontal="right" vertical="center" wrapText="1"/>
    </xf>
    <xf numFmtId="0" fontId="22" fillId="0" borderId="7" xfId="2" applyFont="1" applyFill="1" applyBorder="1" applyAlignment="1">
      <alignment horizontal="center" vertical="center"/>
    </xf>
    <xf numFmtId="0" fontId="20" fillId="0" borderId="0" xfId="2" applyFill="1" applyBorder="1" applyAlignment="1">
      <alignment horizontal="center" vertical="center"/>
    </xf>
    <xf numFmtId="0" fontId="0" fillId="0" borderId="1" xfId="0" applyFill="1" applyBorder="1" applyAlignment="1">
      <alignment vertical="center"/>
    </xf>
    <xf numFmtId="0" fontId="20" fillId="0" borderId="0" xfId="2" applyFill="1" applyAlignment="1">
      <alignment horizontal="center" vertical="center"/>
    </xf>
    <xf numFmtId="0" fontId="20" fillId="0" borderId="0" xfId="2" applyFill="1">
      <alignment vertical="center"/>
    </xf>
    <xf numFmtId="0" fontId="22" fillId="0" borderId="13" xfId="2" applyFont="1" applyFill="1" applyBorder="1" applyAlignment="1">
      <alignment horizontal="left" vertical="center"/>
    </xf>
    <xf numFmtId="0" fontId="22" fillId="0" borderId="14" xfId="2" applyFont="1" applyFill="1" applyBorder="1" applyAlignment="1">
      <alignment horizontal="center" vertical="center"/>
    </xf>
    <xf numFmtId="0" fontId="22" fillId="0" borderId="44" xfId="2" applyFont="1" applyFill="1" applyBorder="1" applyAlignment="1">
      <alignment horizontal="center" vertical="center" wrapText="1"/>
    </xf>
    <xf numFmtId="0" fontId="22" fillId="0" borderId="55" xfId="2" applyFont="1" applyFill="1" applyBorder="1" applyAlignment="1">
      <alignment horizontal="center" vertical="center" wrapText="1"/>
    </xf>
    <xf numFmtId="0" fontId="22" fillId="0" borderId="10" xfId="2" applyFont="1" applyFill="1" applyBorder="1" applyAlignment="1">
      <alignment horizontal="left" vertical="center"/>
    </xf>
    <xf numFmtId="0" fontId="22" fillId="0" borderId="34" xfId="2" applyFont="1" applyFill="1" applyBorder="1" applyAlignment="1">
      <alignment horizontal="left" vertical="center"/>
    </xf>
    <xf numFmtId="0" fontId="20" fillId="0" borderId="0" xfId="2" applyFill="1" applyAlignment="1">
      <alignment vertical="center" wrapText="1"/>
    </xf>
    <xf numFmtId="0" fontId="20" fillId="0" borderId="0" xfId="2" applyFill="1" applyAlignment="1">
      <alignment horizontal="center" vertical="center" wrapText="1"/>
    </xf>
    <xf numFmtId="179" fontId="21" fillId="0" borderId="0" xfId="2" applyNumberFormat="1" applyFont="1" applyFill="1" applyBorder="1" applyAlignment="1">
      <alignment horizontal="center" vertical="center"/>
    </xf>
    <xf numFmtId="0" fontId="22" fillId="0" borderId="6" xfId="0" applyFont="1" applyBorder="1" applyAlignment="1">
      <alignment horizontal="left" vertical="center"/>
    </xf>
    <xf numFmtId="0" fontId="22" fillId="0" borderId="1" xfId="0" applyFont="1" applyBorder="1" applyAlignment="1">
      <alignment horizontal="left" vertical="center"/>
    </xf>
    <xf numFmtId="0" fontId="22" fillId="0" borderId="1" xfId="0" applyFont="1" applyBorder="1">
      <alignment vertical="center"/>
    </xf>
    <xf numFmtId="177" fontId="20" fillId="0" borderId="1" xfId="2" applyNumberFormat="1" applyBorder="1" applyAlignment="1">
      <alignment horizontal="center" vertical="center" wrapText="1"/>
    </xf>
    <xf numFmtId="0" fontId="22" fillId="0" borderId="0" xfId="0" applyFont="1">
      <alignment vertical="center"/>
    </xf>
    <xf numFmtId="0" fontId="22" fillId="0" borderId="1" xfId="2" applyFont="1" applyBorder="1" applyAlignment="1">
      <alignment horizontal="left" vertical="center"/>
    </xf>
    <xf numFmtId="0" fontId="22" fillId="0" borderId="0" xfId="2" applyFont="1">
      <alignment vertical="center"/>
    </xf>
    <xf numFmtId="0" fontId="20" fillId="0" borderId="0" xfId="2" applyAlignment="1">
      <alignment horizontal="center" vertical="center"/>
    </xf>
    <xf numFmtId="0" fontId="20" fillId="0" borderId="0" xfId="2">
      <alignment vertical="center"/>
    </xf>
    <xf numFmtId="0" fontId="20" fillId="0" borderId="1" xfId="2" applyBorder="1">
      <alignment vertical="center"/>
    </xf>
    <xf numFmtId="0" fontId="22" fillId="0" borderId="9" xfId="0" applyFont="1" applyBorder="1" applyAlignment="1">
      <alignment horizontal="left" vertical="center"/>
    </xf>
    <xf numFmtId="0" fontId="22" fillId="0" borderId="19" xfId="0" applyFont="1" applyBorder="1" applyAlignment="1">
      <alignment horizontal="center" vertical="center"/>
    </xf>
    <xf numFmtId="0" fontId="22" fillId="0" borderId="19" xfId="2" applyFont="1" applyBorder="1" applyAlignment="1">
      <alignment horizontal="center" vertical="center" wrapText="1"/>
    </xf>
    <xf numFmtId="0" fontId="22" fillId="0" borderId="19" xfId="0" applyFont="1" applyBorder="1" applyAlignment="1">
      <alignment horizontal="left" vertical="center"/>
    </xf>
    <xf numFmtId="0" fontId="22" fillId="0" borderId="19" xfId="0" applyFont="1" applyBorder="1" applyAlignment="1">
      <alignment vertical="center"/>
    </xf>
    <xf numFmtId="0" fontId="22" fillId="0" borderId="31" xfId="0" applyFont="1" applyBorder="1" applyAlignment="1">
      <alignment horizontal="left" vertical="center"/>
    </xf>
    <xf numFmtId="0" fontId="22" fillId="0" borderId="33" xfId="0" applyFont="1" applyBorder="1" applyAlignment="1">
      <alignment horizontal="center" vertical="center"/>
    </xf>
    <xf numFmtId="0" fontId="22" fillId="0" borderId="7" xfId="0" applyFont="1" applyBorder="1" applyAlignment="1">
      <alignment horizontal="center" vertical="center"/>
    </xf>
    <xf numFmtId="0" fontId="22" fillId="0" borderId="13" xfId="0" applyFont="1" applyBorder="1" applyAlignment="1">
      <alignment horizontal="left" vertical="center"/>
    </xf>
    <xf numFmtId="0" fontId="22" fillId="0" borderId="14" xfId="0" applyFont="1" applyBorder="1" applyAlignment="1">
      <alignment horizontal="center" vertical="center"/>
    </xf>
    <xf numFmtId="0" fontId="14" fillId="0" borderId="4" xfId="0" applyFont="1" applyBorder="1" applyAlignment="1">
      <alignment horizontal="center" vertical="center"/>
    </xf>
    <xf numFmtId="176" fontId="16" fillId="0" borderId="1" xfId="0" applyNumberFormat="1" applyFont="1" applyBorder="1" applyAlignment="1">
      <alignment horizontal="center" vertical="center"/>
    </xf>
    <xf numFmtId="0" fontId="29" fillId="2" borderId="1" xfId="2" applyFont="1" applyFill="1" applyBorder="1" applyAlignment="1">
      <alignment horizontal="left" vertical="center"/>
    </xf>
    <xf numFmtId="0" fontId="22" fillId="0" borderId="36" xfId="2" applyFont="1" applyFill="1" applyBorder="1" applyAlignment="1">
      <alignment horizontal="left" vertical="center"/>
    </xf>
    <xf numFmtId="0" fontId="22" fillId="0" borderId="56" xfId="2" applyFont="1" applyFill="1" applyBorder="1" applyAlignment="1">
      <alignment horizontal="center" vertical="center"/>
    </xf>
    <xf numFmtId="0" fontId="29" fillId="0" borderId="1" xfId="2" applyFont="1" applyBorder="1" applyAlignment="1">
      <alignment horizontal="center" vertical="center"/>
    </xf>
    <xf numFmtId="0" fontId="29" fillId="0" borderId="1" xfId="2" applyFont="1" applyBorder="1" applyAlignment="1">
      <alignment horizontal="center" vertical="center" wrapText="1"/>
    </xf>
    <xf numFmtId="0" fontId="40" fillId="0" borderId="0" xfId="0" applyFont="1" applyFill="1" applyBorder="1">
      <alignment vertical="center"/>
    </xf>
    <xf numFmtId="0" fontId="40" fillId="0" borderId="0" xfId="0" applyFont="1" applyFill="1" applyBorder="1" applyAlignment="1">
      <alignment horizontal="center" vertical="center"/>
    </xf>
    <xf numFmtId="0" fontId="22" fillId="6"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41" fillId="7" borderId="0" xfId="0" applyFont="1" applyFill="1" applyBorder="1">
      <alignment vertical="center"/>
    </xf>
    <xf numFmtId="0" fontId="41" fillId="7" borderId="0" xfId="0" applyFont="1" applyFill="1" applyBorder="1" applyAlignment="1">
      <alignment horizontal="center" vertical="center"/>
    </xf>
    <xf numFmtId="0" fontId="42" fillId="0" borderId="1" xfId="0" applyFont="1" applyFill="1" applyBorder="1" applyAlignment="1">
      <alignment horizontal="center" vertical="center" wrapText="1"/>
    </xf>
    <xf numFmtId="0" fontId="41" fillId="0" borderId="0" xfId="0" applyFont="1" applyFill="1" applyBorder="1">
      <alignment vertical="center"/>
    </xf>
    <xf numFmtId="0" fontId="29" fillId="0" borderId="1" xfId="0" applyFont="1" applyFill="1" applyBorder="1" applyAlignment="1">
      <alignment horizontal="center" vertical="center" wrapText="1"/>
    </xf>
    <xf numFmtId="0" fontId="40" fillId="0" borderId="1" xfId="0" applyFont="1" applyFill="1" applyBorder="1">
      <alignment vertical="center"/>
    </xf>
    <xf numFmtId="0" fontId="41" fillId="0" borderId="0" xfId="0" applyFont="1" applyFill="1" applyBorder="1" applyAlignment="1">
      <alignment horizontal="center" vertical="center"/>
    </xf>
    <xf numFmtId="0" fontId="22" fillId="0" borderId="1" xfId="0" applyFont="1" applyFill="1" applyBorder="1" applyAlignment="1">
      <alignment horizontal="center" vertical="center" wrapText="1"/>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54" fillId="0" borderId="4" xfId="31" applyFont="1" applyBorder="1" applyAlignment="1">
      <alignment horizontal="center"/>
    </xf>
    <xf numFmtId="179" fontId="7" fillId="0" borderId="20" xfId="31" applyNumberFormat="1" applyFont="1" applyBorder="1" applyAlignment="1">
      <alignment horizontal="center"/>
    </xf>
    <xf numFmtId="0" fontId="0" fillId="0" borderId="20" xfId="31" applyFont="1" applyBorder="1"/>
    <xf numFmtId="0" fontId="4" fillId="0" borderId="0" xfId="31" applyFont="1" applyBorder="1" applyAlignment="1">
      <alignment horizontal="center"/>
    </xf>
    <xf numFmtId="0" fontId="4" fillId="0" borderId="0" xfId="31" applyFont="1" applyFill="1" applyBorder="1" applyAlignment="1">
      <alignment horizontal="center"/>
    </xf>
    <xf numFmtId="0" fontId="2" fillId="8" borderId="0" xfId="31" applyFont="1" applyFill="1" applyAlignment="1">
      <alignment horizontal="center"/>
    </xf>
    <xf numFmtId="0" fontId="2" fillId="0" borderId="0" xfId="31" applyFont="1"/>
    <xf numFmtId="179" fontId="7" fillId="0" borderId="0" xfId="31" applyNumberFormat="1" applyFont="1" applyBorder="1" applyAlignment="1">
      <alignment horizontal="center"/>
    </xf>
    <xf numFmtId="0" fontId="2" fillId="0" borderId="32" xfId="31" applyFont="1" applyBorder="1" applyAlignment="1">
      <alignment horizontal="center" vertical="center"/>
    </xf>
    <xf numFmtId="0" fontId="9" fillId="0" borderId="5" xfId="31" applyFont="1" applyBorder="1" applyAlignment="1">
      <alignment horizontal="center" vertical="center"/>
    </xf>
    <xf numFmtId="0" fontId="2" fillId="0" borderId="6" xfId="31" applyFont="1" applyBorder="1" applyAlignment="1">
      <alignment horizontal="center" vertical="center"/>
    </xf>
    <xf numFmtId="0" fontId="2" fillId="0" borderId="6" xfId="31" applyFont="1" applyFill="1" applyBorder="1" applyAlignment="1">
      <alignment horizontal="center" vertical="center"/>
    </xf>
    <xf numFmtId="0" fontId="2" fillId="12" borderId="6" xfId="31" applyFont="1" applyFill="1" applyBorder="1" applyAlignment="1">
      <alignment horizontal="center" vertical="center"/>
    </xf>
    <xf numFmtId="0" fontId="7" fillId="0" borderId="0" xfId="31" applyFont="1" applyFill="1" applyBorder="1" applyAlignment="1">
      <alignment horizontal="center"/>
    </xf>
    <xf numFmtId="0" fontId="3" fillId="0" borderId="0" xfId="31" applyFont="1" applyFill="1" applyBorder="1" applyAlignment="1">
      <alignment horizontal="center"/>
    </xf>
    <xf numFmtId="0" fontId="4" fillId="0" borderId="5" xfId="31" applyNumberFormat="1" applyFont="1" applyBorder="1" applyAlignment="1">
      <alignment horizontal="center"/>
    </xf>
    <xf numFmtId="0" fontId="4" fillId="0" borderId="6" xfId="31" applyFont="1" applyBorder="1" applyAlignment="1">
      <alignment horizontal="center"/>
    </xf>
    <xf numFmtId="0" fontId="2" fillId="0" borderId="6" xfId="31" applyFont="1" applyBorder="1" applyAlignment="1">
      <alignment horizontal="center"/>
    </xf>
    <xf numFmtId="0" fontId="2" fillId="0" borderId="6" xfId="31" applyFont="1" applyFill="1" applyBorder="1" applyAlignment="1">
      <alignment horizontal="center"/>
    </xf>
    <xf numFmtId="0" fontId="2" fillId="12" borderId="6" xfId="31" applyFont="1" applyFill="1" applyBorder="1" applyAlignment="1">
      <alignment horizontal="center"/>
    </xf>
    <xf numFmtId="0" fontId="2" fillId="0" borderId="0" xfId="31" quotePrefix="1" applyFont="1"/>
    <xf numFmtId="0" fontId="0" fillId="0" borderId="0" xfId="31" quotePrefix="1" applyFont="1"/>
    <xf numFmtId="0" fontId="0" fillId="0" borderId="0" xfId="31" applyFont="1" applyFill="1"/>
    <xf numFmtId="176" fontId="4" fillId="0" borderId="5" xfId="31" applyNumberFormat="1" applyFont="1" applyBorder="1" applyAlignment="1">
      <alignment horizontal="center"/>
    </xf>
    <xf numFmtId="0" fontId="2" fillId="0" borderId="5" xfId="31" applyNumberFormat="1" applyFont="1" applyBorder="1" applyAlignment="1">
      <alignment horizontal="center"/>
    </xf>
    <xf numFmtId="0" fontId="9" fillId="0" borderId="5" xfId="31" applyNumberFormat="1" applyFont="1" applyBorder="1" applyAlignment="1">
      <alignment horizontal="center"/>
    </xf>
    <xf numFmtId="0" fontId="2" fillId="0" borderId="37" xfId="31" applyNumberFormat="1" applyFont="1" applyBorder="1" applyAlignment="1">
      <alignment horizontal="center"/>
    </xf>
    <xf numFmtId="0" fontId="4" fillId="0" borderId="34" xfId="31" applyFont="1" applyBorder="1" applyAlignment="1">
      <alignment horizontal="center"/>
    </xf>
    <xf numFmtId="0" fontId="2" fillId="0" borderId="34" xfId="31" applyFont="1" applyBorder="1" applyAlignment="1">
      <alignment horizontal="center"/>
    </xf>
    <xf numFmtId="0" fontId="2" fillId="0" borderId="30" xfId="31" applyNumberFormat="1" applyFont="1" applyBorder="1" applyAlignment="1">
      <alignment horizontal="center"/>
    </xf>
    <xf numFmtId="0" fontId="2" fillId="0" borderId="13" xfId="31" applyFont="1" applyBorder="1" applyAlignment="1">
      <alignment horizontal="center" vertical="center"/>
    </xf>
    <xf numFmtId="0" fontId="2" fillId="0" borderId="13" xfId="31" applyFont="1" applyBorder="1" applyAlignment="1">
      <alignment horizontal="center"/>
    </xf>
    <xf numFmtId="0" fontId="2" fillId="0" borderId="0" xfId="31" applyNumberFormat="1" applyFont="1" applyBorder="1"/>
    <xf numFmtId="0" fontId="6" fillId="0" borderId="0" xfId="31" applyFont="1" applyBorder="1"/>
    <xf numFmtId="0" fontId="6" fillId="0" borderId="0" xfId="31" applyFont="1"/>
    <xf numFmtId="58" fontId="49" fillId="0" borderId="0" xfId="31" applyNumberFormat="1" applyFont="1" applyBorder="1"/>
    <xf numFmtId="0" fontId="57" fillId="0" borderId="0" xfId="31" applyFont="1"/>
    <xf numFmtId="0" fontId="6" fillId="0" borderId="0" xfId="31" applyFont="1" applyFill="1"/>
    <xf numFmtId="0" fontId="6" fillId="8" borderId="0" xfId="31" applyFont="1" applyFill="1" applyBorder="1" applyAlignment="1">
      <alignment horizontal="center"/>
    </xf>
    <xf numFmtId="0" fontId="49" fillId="8" borderId="0" xfId="31" applyFont="1" applyFill="1" applyBorder="1" applyAlignment="1">
      <alignment horizontal="center"/>
    </xf>
    <xf numFmtId="0" fontId="44" fillId="0" borderId="0" xfId="31" applyFont="1"/>
    <xf numFmtId="0" fontId="2" fillId="0" borderId="0" xfId="31" applyFont="1" applyFill="1" applyBorder="1"/>
    <xf numFmtId="0" fontId="0" fillId="0" borderId="0" xfId="31" applyFont="1" applyAlignment="1">
      <alignment horizontal="center"/>
    </xf>
    <xf numFmtId="0" fontId="7" fillId="0" borderId="0" xfId="31" applyFont="1" applyAlignment="1">
      <alignment horizontal="center"/>
    </xf>
    <xf numFmtId="58" fontId="51" fillId="0" borderId="0" xfId="31" applyNumberFormat="1" applyFont="1" applyBorder="1"/>
    <xf numFmtId="0" fontId="44" fillId="0" borderId="0" xfId="31" applyFont="1" applyBorder="1" applyAlignment="1">
      <alignment horizontal="center"/>
    </xf>
    <xf numFmtId="0" fontId="6" fillId="0" borderId="0" xfId="31" applyFont="1" applyFill="1" applyBorder="1"/>
    <xf numFmtId="0" fontId="44" fillId="8" borderId="0" xfId="31" applyFont="1" applyFill="1" applyBorder="1" applyAlignment="1">
      <alignment horizontal="center"/>
    </xf>
    <xf numFmtId="0" fontId="51" fillId="8" borderId="0" xfId="31" applyFont="1" applyFill="1" applyBorder="1" applyAlignment="1">
      <alignment horizontal="center"/>
    </xf>
    <xf numFmtId="0" fontId="44" fillId="0" borderId="0" xfId="31" applyFont="1" applyBorder="1"/>
    <xf numFmtId="177" fontId="0" fillId="0" borderId="0" xfId="31" applyNumberFormat="1" applyFont="1"/>
    <xf numFmtId="0" fontId="44" fillId="0" borderId="0" xfId="31" applyFont="1" applyFill="1"/>
    <xf numFmtId="0" fontId="44" fillId="8" borderId="0" xfId="31" applyFont="1" applyFill="1"/>
    <xf numFmtId="177" fontId="2" fillId="0" borderId="0" xfId="31" applyNumberFormat="1" applyFont="1"/>
    <xf numFmtId="0" fontId="44" fillId="12" borderId="0" xfId="31" applyFont="1" applyFill="1"/>
    <xf numFmtId="0" fontId="0" fillId="12" borderId="0" xfId="31" applyFont="1" applyFill="1"/>
    <xf numFmtId="0" fontId="6"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2" fillId="0" borderId="6" xfId="29" applyFont="1" applyFill="1" applyBorder="1" applyAlignment="1">
      <alignment vertical="center"/>
    </xf>
    <xf numFmtId="179" fontId="3" fillId="0" borderId="6" xfId="29" applyNumberFormat="1" applyFont="1" applyFill="1" applyBorder="1" applyAlignment="1">
      <alignment vertical="center"/>
    </xf>
    <xf numFmtId="0" fontId="7" fillId="0" borderId="6" xfId="29" applyFont="1" applyFill="1" applyBorder="1" applyAlignment="1">
      <alignment vertical="center"/>
    </xf>
    <xf numFmtId="0" fontId="7" fillId="0" borderId="0" xfId="29" applyFont="1" applyBorder="1" applyAlignment="1">
      <alignment vertical="center"/>
    </xf>
    <xf numFmtId="0" fontId="7" fillId="0" borderId="0" xfId="29" applyFont="1" applyBorder="1" applyAlignment="1">
      <alignment horizontal="center" vertical="center"/>
    </xf>
    <xf numFmtId="0" fontId="54" fillId="0" borderId="0" xfId="29" applyFont="1" applyBorder="1" applyAlignment="1">
      <alignment horizontal="center"/>
    </xf>
    <xf numFmtId="179" fontId="7" fillId="0" borderId="0" xfId="29" applyNumberFormat="1" applyFont="1" applyBorder="1" applyAlignment="1">
      <alignment horizontal="center"/>
    </xf>
    <xf numFmtId="0" fontId="2" fillId="0" borderId="6" xfId="29" applyFont="1" applyFill="1" applyBorder="1"/>
    <xf numFmtId="0" fontId="9" fillId="0" borderId="0" xfId="29" applyFont="1" applyFill="1"/>
    <xf numFmtId="0" fontId="9" fillId="0" borderId="0" xfId="29" applyFont="1" applyFill="1" applyBorder="1"/>
    <xf numFmtId="0" fontId="9" fillId="0" borderId="0" xfId="29" applyFont="1" applyFill="1" applyAlignment="1">
      <alignment horizontal="center" vertical="center"/>
    </xf>
    <xf numFmtId="0" fontId="2" fillId="0" borderId="0" xfId="29" applyFont="1" applyFill="1"/>
    <xf numFmtId="0" fontId="2" fillId="0" borderId="0" xfId="29" applyFont="1" applyFill="1" applyAlignment="1">
      <alignment vertical="center"/>
    </xf>
    <xf numFmtId="0" fontId="2" fillId="0" borderId="0" xfId="29" applyFont="1" applyFill="1" applyBorder="1" applyAlignment="1">
      <alignment horizontal="center" vertical="center"/>
    </xf>
    <xf numFmtId="0" fontId="0" fillId="0" borderId="0" xfId="29" applyFont="1" applyFill="1" applyBorder="1"/>
    <xf numFmtId="0" fontId="33" fillId="0" borderId="0" xfId="32" applyFont="1"/>
    <xf numFmtId="0" fontId="33" fillId="0" borderId="0" xfId="32" applyFont="1" applyAlignment="1">
      <alignment horizontal="right"/>
    </xf>
    <xf numFmtId="0" fontId="26" fillId="0" borderId="1" xfId="32" applyFont="1" applyBorder="1" applyAlignment="1">
      <alignment horizontal="center" vertical="center"/>
    </xf>
    <xf numFmtId="0" fontId="33" fillId="0" borderId="0" xfId="32" applyFont="1" applyBorder="1" applyAlignment="1">
      <alignment horizontal="center" vertical="center"/>
    </xf>
    <xf numFmtId="0" fontId="33" fillId="0" borderId="0" xfId="32" applyFont="1" applyAlignment="1"/>
    <xf numFmtId="0" fontId="26" fillId="0" borderId="0" xfId="32" applyFont="1" applyAlignment="1"/>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0" fillId="0" borderId="0" xfId="33" applyFont="1" applyBorder="1"/>
    <xf numFmtId="0" fontId="0" fillId="0" borderId="0" xfId="33" applyFont="1"/>
    <xf numFmtId="177" fontId="0" fillId="10" borderId="0" xfId="33" applyNumberFormat="1" applyFont="1" applyFill="1" applyAlignment="1">
      <alignment vertical="center"/>
    </xf>
    <xf numFmtId="177" fontId="0" fillId="10" borderId="0" xfId="33" applyNumberFormat="1" applyFont="1" applyFill="1"/>
    <xf numFmtId="0" fontId="0" fillId="10" borderId="0" xfId="33" applyFont="1" applyFill="1"/>
    <xf numFmtId="0" fontId="0" fillId="0" borderId="4" xfId="33" applyFont="1" applyBorder="1"/>
    <xf numFmtId="0" fontId="58" fillId="0" borderId="0" xfId="33" applyFont="1" applyBorder="1" applyAlignment="1">
      <alignment horizontal="center"/>
    </xf>
    <xf numFmtId="0" fontId="62" fillId="0" borderId="4" xfId="33" applyFont="1" applyBorder="1" applyAlignment="1">
      <alignment horizontal="center"/>
    </xf>
    <xf numFmtId="177" fontId="0" fillId="10" borderId="0" xfId="33" applyNumberFormat="1" applyFont="1" applyFill="1" applyBorder="1" applyAlignment="1">
      <alignment horizontal="center" vertical="center"/>
    </xf>
    <xf numFmtId="0" fontId="58" fillId="0" borderId="0" xfId="33" applyFont="1" applyAlignment="1">
      <alignment horizontal="center"/>
    </xf>
    <xf numFmtId="179" fontId="63" fillId="8" borderId="20" xfId="33" applyNumberFormat="1" applyFont="1" applyFill="1" applyBorder="1" applyAlignment="1">
      <alignment horizontal="center"/>
    </xf>
    <xf numFmtId="179" fontId="62" fillId="0" borderId="0" xfId="33" applyNumberFormat="1" applyFont="1" applyBorder="1" applyAlignment="1">
      <alignment horizontal="center"/>
    </xf>
    <xf numFmtId="0" fontId="58" fillId="0" borderId="32" xfId="33" applyFont="1" applyBorder="1" applyAlignment="1">
      <alignment horizontal="center" vertical="center"/>
    </xf>
    <xf numFmtId="0" fontId="62" fillId="0" borderId="80" xfId="33" applyFont="1" applyBorder="1" applyAlignment="1">
      <alignment horizontal="center" vertical="center"/>
    </xf>
    <xf numFmtId="0" fontId="67" fillId="0" borderId="5" xfId="33" applyFont="1" applyBorder="1" applyAlignment="1">
      <alignment horizontal="center" vertical="center"/>
    </xf>
    <xf numFmtId="0" fontId="58" fillId="0" borderId="6" xfId="33" applyFont="1" applyBorder="1" applyAlignment="1">
      <alignment horizontal="center" vertical="center"/>
    </xf>
    <xf numFmtId="177" fontId="63" fillId="10" borderId="0" xfId="33" applyNumberFormat="1" applyFont="1" applyFill="1" applyBorder="1" applyAlignment="1">
      <alignment horizontal="center" vertical="center"/>
    </xf>
    <xf numFmtId="177" fontId="63" fillId="10" borderId="0" xfId="33" applyNumberFormat="1" applyFont="1" applyFill="1" applyBorder="1" applyAlignment="1">
      <alignment horizontal="center"/>
    </xf>
    <xf numFmtId="177" fontId="59" fillId="10" borderId="0" xfId="33" applyNumberFormat="1" applyFont="1" applyFill="1" applyBorder="1" applyAlignment="1">
      <alignment horizontal="center"/>
    </xf>
    <xf numFmtId="177" fontId="59" fillId="10" borderId="0" xfId="33" applyNumberFormat="1" applyFont="1" applyFill="1" applyAlignment="1">
      <alignment vertical="center" wrapText="1"/>
    </xf>
    <xf numFmtId="177" fontId="63" fillId="10" borderId="0" xfId="33" applyNumberFormat="1" applyFont="1" applyFill="1" applyBorder="1" applyAlignment="1">
      <alignment horizontal="center" wrapText="1"/>
    </xf>
    <xf numFmtId="0" fontId="4" fillId="0" borderId="5" xfId="33" applyNumberFormat="1" applyFont="1" applyBorder="1" applyAlignment="1">
      <alignment horizontal="center"/>
    </xf>
    <xf numFmtId="0" fontId="4" fillId="0" borderId="6" xfId="33" applyFont="1" applyBorder="1" applyAlignment="1">
      <alignment horizontal="center"/>
    </xf>
    <xf numFmtId="0" fontId="58" fillId="0" borderId="6" xfId="33" applyFont="1" applyBorder="1" applyAlignment="1">
      <alignment horizontal="center"/>
    </xf>
    <xf numFmtId="0" fontId="58" fillId="0" borderId="6" xfId="33" applyFont="1" applyFill="1" applyBorder="1" applyAlignment="1">
      <alignment horizontal="center"/>
    </xf>
    <xf numFmtId="0" fontId="63" fillId="0" borderId="5" xfId="33" applyNumberFormat="1" applyFont="1" applyBorder="1" applyAlignment="1">
      <alignment horizontal="center"/>
    </xf>
    <xf numFmtId="0" fontId="58" fillId="0" borderId="5" xfId="33" applyNumberFormat="1" applyFont="1" applyBorder="1" applyAlignment="1">
      <alignment horizontal="center"/>
    </xf>
    <xf numFmtId="0" fontId="58" fillId="0" borderId="37" xfId="33" applyNumberFormat="1" applyFont="1" applyBorder="1" applyAlignment="1">
      <alignment horizontal="center"/>
    </xf>
    <xf numFmtId="0" fontId="4" fillId="0" borderId="34" xfId="33" applyFont="1" applyBorder="1" applyAlignment="1">
      <alignment horizontal="center"/>
    </xf>
    <xf numFmtId="0" fontId="58" fillId="0" borderId="34" xfId="33" applyFont="1" applyBorder="1" applyAlignment="1">
      <alignment horizontal="center"/>
    </xf>
    <xf numFmtId="176" fontId="59" fillId="0" borderId="5" xfId="33" applyNumberFormat="1" applyFont="1" applyBorder="1" applyAlignment="1">
      <alignment horizontal="center"/>
    </xf>
    <xf numFmtId="176" fontId="0" fillId="0" borderId="5" xfId="33" applyNumberFormat="1" applyFont="1" applyBorder="1" applyAlignment="1">
      <alignment horizontal="center"/>
    </xf>
    <xf numFmtId="0" fontId="58" fillId="0" borderId="30" xfId="33" applyNumberFormat="1" applyFont="1" applyBorder="1" applyAlignment="1">
      <alignment horizontal="center"/>
    </xf>
    <xf numFmtId="0" fontId="58" fillId="0" borderId="13" xfId="33" applyFont="1" applyBorder="1" applyAlignment="1">
      <alignment horizontal="center" vertical="center"/>
    </xf>
    <xf numFmtId="0" fontId="58" fillId="0" borderId="13" xfId="33" applyFont="1" applyBorder="1" applyAlignment="1">
      <alignment horizontal="center"/>
    </xf>
    <xf numFmtId="177" fontId="63" fillId="0" borderId="74" xfId="33" applyNumberFormat="1" applyFont="1" applyBorder="1" applyAlignment="1">
      <alignment horizontal="left" vertical="center"/>
    </xf>
    <xf numFmtId="0" fontId="58" fillId="0" borderId="0" xfId="33" applyNumberFormat="1" applyFont="1" applyBorder="1"/>
    <xf numFmtId="0" fontId="69" fillId="0" borderId="0" xfId="33" applyFont="1" applyBorder="1"/>
    <xf numFmtId="0" fontId="69" fillId="10" borderId="0" xfId="33" applyFont="1" applyFill="1"/>
    <xf numFmtId="0" fontId="69" fillId="0" borderId="0" xfId="33" applyFont="1"/>
    <xf numFmtId="177" fontId="58" fillId="10" borderId="0" xfId="33" applyNumberFormat="1" applyFont="1" applyFill="1"/>
    <xf numFmtId="58" fontId="49" fillId="0" borderId="0" xfId="33" applyNumberFormat="1" applyFont="1" applyBorder="1"/>
    <xf numFmtId="0" fontId="70" fillId="0" borderId="0" xfId="33" applyFont="1"/>
    <xf numFmtId="0" fontId="69" fillId="0" borderId="0" xfId="33" applyFont="1" applyBorder="1" applyAlignment="1">
      <alignment horizontal="center"/>
    </xf>
    <xf numFmtId="0" fontId="49" fillId="0" borderId="0" xfId="33" applyFont="1" applyBorder="1" applyAlignment="1">
      <alignment horizontal="center"/>
    </xf>
    <xf numFmtId="0" fontId="71" fillId="0" borderId="0" xfId="33" applyFont="1"/>
    <xf numFmtId="0" fontId="58" fillId="0" borderId="0" xfId="33" applyFont="1" applyBorder="1"/>
    <xf numFmtId="58" fontId="51" fillId="0" borderId="0" xfId="33" applyNumberFormat="1" applyFont="1" applyBorder="1"/>
    <xf numFmtId="0" fontId="71" fillId="0" borderId="0" xfId="33" applyFont="1" applyBorder="1" applyAlignment="1">
      <alignment horizontal="center"/>
    </xf>
    <xf numFmtId="0" fontId="51" fillId="0" borderId="0" xfId="33" applyFont="1" applyBorder="1" applyAlignment="1">
      <alignment horizontal="center"/>
    </xf>
    <xf numFmtId="0" fontId="71" fillId="0" borderId="0" xfId="33" applyFont="1" applyBorder="1"/>
    <xf numFmtId="0" fontId="71" fillId="10" borderId="0" xfId="33" applyFont="1" applyFill="1"/>
    <xf numFmtId="0" fontId="58" fillId="10" borderId="0" xfId="33" applyFont="1" applyFill="1" applyBorder="1"/>
    <xf numFmtId="0" fontId="0" fillId="10" borderId="0" xfId="33" applyFont="1" applyFill="1" applyBorder="1"/>
    <xf numFmtId="0" fontId="0" fillId="10" borderId="0" xfId="33" applyFont="1" applyFill="1" applyBorder="1" applyAlignment="1">
      <alignment horizontal="center" vertical="center"/>
    </xf>
    <xf numFmtId="177" fontId="0" fillId="0" borderId="0" xfId="33" applyNumberFormat="1" applyFont="1" applyBorder="1"/>
    <xf numFmtId="0" fontId="58" fillId="0" borderId="0" xfId="33" applyFont="1" applyFill="1" applyBorder="1" applyAlignment="1">
      <alignment horizontal="center" vertical="center"/>
    </xf>
    <xf numFmtId="0" fontId="58" fillId="0" borderId="80" xfId="33" applyFont="1" applyFill="1" applyBorder="1" applyAlignment="1">
      <alignment horizontal="center" vertical="center"/>
    </xf>
    <xf numFmtId="58" fontId="58" fillId="0" borderId="80" xfId="33" applyNumberFormat="1" applyFont="1" applyFill="1" applyBorder="1" applyAlignment="1">
      <alignment horizontal="center" vertical="center"/>
    </xf>
    <xf numFmtId="0" fontId="58" fillId="10" borderId="83" xfId="33" applyFont="1" applyFill="1" applyBorder="1" applyAlignment="1">
      <alignment vertical="center"/>
    </xf>
    <xf numFmtId="0" fontId="72" fillId="13" borderId="80" xfId="34" applyFont="1" applyFill="1" applyBorder="1" applyAlignment="1">
      <alignment vertical="center" wrapText="1"/>
    </xf>
    <xf numFmtId="0" fontId="72" fillId="13" borderId="80" xfId="33" applyFont="1" applyFill="1" applyBorder="1" applyAlignment="1">
      <alignment vertical="center" wrapText="1"/>
    </xf>
    <xf numFmtId="0" fontId="0" fillId="0" borderId="80" xfId="33" applyFont="1" applyBorder="1"/>
    <xf numFmtId="0" fontId="58" fillId="0" borderId="1" xfId="33" applyFont="1" applyFill="1" applyBorder="1" applyAlignment="1">
      <alignment horizontal="center" vertical="center"/>
    </xf>
    <xf numFmtId="0" fontId="58" fillId="0" borderId="1" xfId="33" applyNumberFormat="1" applyFont="1" applyFill="1" applyBorder="1" applyAlignment="1">
      <alignment horizontal="center" vertical="center"/>
    </xf>
    <xf numFmtId="0" fontId="58" fillId="10" borderId="0" xfId="33" applyFont="1" applyFill="1" applyBorder="1" applyAlignment="1">
      <alignment horizontal="center" vertical="center"/>
    </xf>
    <xf numFmtId="0" fontId="0" fillId="10" borderId="84" xfId="33" applyFont="1" applyFill="1" applyBorder="1" applyAlignment="1">
      <alignment vertical="center"/>
    </xf>
    <xf numFmtId="0" fontId="72" fillId="13" borderId="1" xfId="34" applyFont="1" applyFill="1" applyBorder="1" applyAlignment="1">
      <alignment vertical="center" wrapText="1"/>
    </xf>
    <xf numFmtId="0" fontId="72" fillId="13" borderId="1" xfId="33" applyFont="1" applyFill="1" applyBorder="1" applyAlignment="1">
      <alignment vertical="center" wrapText="1"/>
    </xf>
    <xf numFmtId="0" fontId="72" fillId="13" borderId="1" xfId="34" applyFont="1" applyFill="1" applyBorder="1" applyAlignment="1">
      <alignment horizontal="center" vertical="center" wrapText="1"/>
    </xf>
    <xf numFmtId="0" fontId="0" fillId="0" borderId="1" xfId="33" applyFont="1" applyBorder="1"/>
    <xf numFmtId="0" fontId="72" fillId="13" borderId="85" xfId="34" applyFont="1" applyFill="1" applyBorder="1" applyAlignment="1">
      <alignment horizontal="center" vertical="center" wrapText="1"/>
    </xf>
    <xf numFmtId="0" fontId="58" fillId="0" borderId="84" xfId="33" applyFont="1" applyFill="1" applyBorder="1" applyAlignment="1">
      <alignment horizontal="center" vertical="center"/>
    </xf>
    <xf numFmtId="0" fontId="58" fillId="0" borderId="1" xfId="33" applyFont="1" applyFill="1" applyBorder="1" applyAlignment="1">
      <alignment horizontal="center" vertical="center" wrapText="1"/>
    </xf>
    <xf numFmtId="182" fontId="58" fillId="0" borderId="1" xfId="33" applyNumberFormat="1" applyFont="1" applyFill="1" applyBorder="1" applyAlignment="1">
      <alignment horizontal="center" vertical="center"/>
    </xf>
    <xf numFmtId="0" fontId="65" fillId="10" borderId="0" xfId="33" applyFont="1" applyFill="1" applyBorder="1" applyAlignment="1">
      <alignment horizontal="center" vertical="center"/>
    </xf>
    <xf numFmtId="0" fontId="0" fillId="10" borderId="84" xfId="33" applyFont="1" applyFill="1" applyBorder="1" applyAlignment="1">
      <alignment horizontal="center" vertical="center"/>
    </xf>
    <xf numFmtId="0" fontId="74" fillId="8" borderId="1" xfId="34" applyFont="1" applyFill="1" applyBorder="1" applyAlignment="1">
      <alignment vertical="center" wrapText="1"/>
    </xf>
    <xf numFmtId="0" fontId="74" fillId="8" borderId="1" xfId="34" applyFont="1" applyFill="1" applyBorder="1" applyAlignment="1">
      <alignment horizontal="center" vertical="center" wrapText="1"/>
    </xf>
    <xf numFmtId="0" fontId="74" fillId="0" borderId="1" xfId="34" applyFont="1" applyFill="1" applyBorder="1" applyAlignment="1">
      <alignment horizontal="center" vertical="center" wrapText="1"/>
    </xf>
    <xf numFmtId="177" fontId="0" fillId="0" borderId="1" xfId="33" applyNumberFormat="1" applyFont="1" applyBorder="1"/>
    <xf numFmtId="177" fontId="0" fillId="0" borderId="85" xfId="33" applyNumberFormat="1" applyFont="1" applyBorder="1"/>
    <xf numFmtId="0" fontId="63" fillId="0" borderId="1" xfId="33" applyFont="1" applyFill="1" applyBorder="1" applyAlignment="1">
      <alignment horizontal="center" vertical="center"/>
    </xf>
    <xf numFmtId="0" fontId="63" fillId="0" borderId="1" xfId="33" applyFont="1" applyFill="1" applyBorder="1" applyAlignment="1">
      <alignment horizontal="center" vertical="center" wrapText="1"/>
    </xf>
    <xf numFmtId="181" fontId="67" fillId="0" borderId="1" xfId="33" applyNumberFormat="1" applyFont="1" applyFill="1" applyBorder="1" applyAlignment="1">
      <alignment horizontal="center" vertical="center"/>
    </xf>
    <xf numFmtId="182" fontId="63" fillId="0" borderId="1" xfId="33" applyNumberFormat="1" applyFont="1" applyFill="1" applyBorder="1" applyAlignment="1">
      <alignment horizontal="center" vertical="center"/>
    </xf>
    <xf numFmtId="0" fontId="67" fillId="0" borderId="1" xfId="33" applyFont="1" applyFill="1" applyBorder="1" applyAlignment="1">
      <alignment horizontal="center" vertical="center"/>
    </xf>
    <xf numFmtId="177" fontId="63" fillId="0" borderId="1" xfId="33" applyNumberFormat="1" applyFont="1" applyFill="1" applyBorder="1" applyAlignment="1">
      <alignment horizontal="center" vertical="center"/>
    </xf>
    <xf numFmtId="0" fontId="67" fillId="0" borderId="85" xfId="33" applyFont="1" applyFill="1" applyBorder="1" applyAlignment="1">
      <alignment horizontal="center" vertical="center"/>
    </xf>
    <xf numFmtId="0" fontId="67" fillId="0" borderId="87" xfId="33" applyFont="1" applyFill="1" applyBorder="1" applyAlignment="1">
      <alignment horizontal="center" vertical="center"/>
    </xf>
    <xf numFmtId="182" fontId="67" fillId="0" borderId="87" xfId="33" applyNumberFormat="1" applyFont="1" applyFill="1" applyBorder="1" applyAlignment="1">
      <alignment horizontal="center" vertical="center"/>
    </xf>
    <xf numFmtId="0" fontId="67" fillId="0" borderId="88" xfId="33" applyFont="1" applyFill="1" applyBorder="1" applyAlignment="1">
      <alignment horizontal="center" vertical="center"/>
    </xf>
    <xf numFmtId="0" fontId="58" fillId="0" borderId="0" xfId="33" applyFont="1" applyFill="1" applyAlignment="1">
      <alignment horizontal="center" vertical="center"/>
    </xf>
    <xf numFmtId="182" fontId="58" fillId="0" borderId="0" xfId="33" applyNumberFormat="1" applyFont="1" applyFill="1"/>
    <xf numFmtId="0" fontId="67" fillId="0" borderId="0" xfId="33" applyFont="1" applyFill="1" applyBorder="1"/>
    <xf numFmtId="0" fontId="67" fillId="0" borderId="0" xfId="33" applyFont="1" applyFill="1" applyAlignment="1">
      <alignment horizontal="center" vertical="center"/>
    </xf>
    <xf numFmtId="0" fontId="58" fillId="0" borderId="0" xfId="33" applyFont="1" applyFill="1" applyAlignment="1">
      <alignment vertical="center"/>
    </xf>
    <xf numFmtId="0" fontId="58" fillId="0" borderId="0" xfId="33" applyFont="1" applyFill="1" applyAlignment="1">
      <alignment horizontal="right" vertical="center"/>
    </xf>
    <xf numFmtId="0" fontId="0" fillId="0" borderId="0" xfId="33" applyFont="1" applyFill="1" applyBorder="1"/>
    <xf numFmtId="182" fontId="0" fillId="0" borderId="0" xfId="33" applyNumberFormat="1" applyFont="1" applyFill="1" applyBorder="1"/>
    <xf numFmtId="0" fontId="0" fillId="10" borderId="86" xfId="33" applyFont="1" applyFill="1" applyBorder="1" applyAlignment="1">
      <alignment horizontal="center" vertical="center"/>
    </xf>
    <xf numFmtId="0" fontId="74" fillId="8" borderId="87" xfId="34" applyFont="1" applyFill="1" applyBorder="1" applyAlignment="1">
      <alignment vertical="center" wrapText="1"/>
    </xf>
    <xf numFmtId="0" fontId="74" fillId="8" borderId="87" xfId="34" applyFont="1" applyFill="1" applyBorder="1" applyAlignment="1">
      <alignment horizontal="center" vertical="center" wrapText="1"/>
    </xf>
    <xf numFmtId="0" fontId="74" fillId="0" borderId="87" xfId="34" applyFont="1" applyFill="1" applyBorder="1" applyAlignment="1">
      <alignment horizontal="center" vertical="center" wrapText="1"/>
    </xf>
    <xf numFmtId="0" fontId="0" fillId="0" borderId="87" xfId="33" applyFont="1" applyBorder="1"/>
    <xf numFmtId="177" fontId="0" fillId="0" borderId="87" xfId="33" applyNumberFormat="1" applyFont="1" applyBorder="1"/>
    <xf numFmtId="177" fontId="0" fillId="0" borderId="88" xfId="33" applyNumberFormat="1" applyFont="1" applyBorder="1"/>
    <xf numFmtId="182" fontId="0" fillId="0" borderId="0" xfId="33" applyNumberFormat="1" applyFont="1" applyBorder="1"/>
    <xf numFmtId="0" fontId="0" fillId="10" borderId="83" xfId="33" applyFont="1" applyFill="1" applyBorder="1" applyAlignment="1">
      <alignment horizontal="center" vertical="center"/>
    </xf>
    <xf numFmtId="0" fontId="74" fillId="8" borderId="80" xfId="33" applyFont="1" applyFill="1" applyBorder="1" applyAlignment="1">
      <alignment vertical="center" wrapText="1"/>
    </xf>
    <xf numFmtId="0" fontId="74" fillId="8" borderId="80" xfId="33" applyFont="1" applyFill="1" applyBorder="1" applyAlignment="1">
      <alignment horizontal="center" vertical="center" wrapText="1"/>
    </xf>
    <xf numFmtId="0" fontId="74" fillId="8" borderId="80" xfId="33" applyFont="1" applyFill="1" applyBorder="1" applyAlignment="1">
      <alignment horizontal="center" vertical="center"/>
    </xf>
    <xf numFmtId="177" fontId="0" fillId="0" borderId="80" xfId="33" applyNumberFormat="1" applyFont="1" applyBorder="1"/>
    <xf numFmtId="177" fontId="0" fillId="0" borderId="81" xfId="33" applyNumberFormat="1" applyFont="1" applyBorder="1"/>
    <xf numFmtId="0" fontId="74" fillId="8" borderId="1" xfId="33" applyFont="1" applyFill="1" applyBorder="1" applyAlignment="1">
      <alignment vertical="center" wrapText="1"/>
    </xf>
    <xf numFmtId="0" fontId="74" fillId="8" borderId="1" xfId="33" applyFont="1" applyFill="1" applyBorder="1" applyAlignment="1">
      <alignment horizontal="center" vertical="center" wrapText="1"/>
    </xf>
    <xf numFmtId="0" fontId="74" fillId="8" borderId="1" xfId="33" applyFont="1" applyFill="1" applyBorder="1" applyAlignment="1">
      <alignment horizontal="center" vertical="center"/>
    </xf>
    <xf numFmtId="0" fontId="74" fillId="8" borderId="87" xfId="33" applyFont="1" applyFill="1" applyBorder="1" applyAlignment="1">
      <alignment vertical="center" wrapText="1"/>
    </xf>
    <xf numFmtId="0" fontId="74" fillId="8" borderId="87" xfId="33" applyFont="1" applyFill="1" applyBorder="1" applyAlignment="1">
      <alignment horizontal="center" vertical="center" wrapText="1"/>
    </xf>
    <xf numFmtId="0" fontId="74" fillId="8" borderId="87" xfId="33" applyFont="1" applyFill="1" applyBorder="1" applyAlignment="1">
      <alignment horizontal="center" vertical="center"/>
    </xf>
    <xf numFmtId="0" fontId="78" fillId="0" borderId="0" xfId="35" applyFont="1"/>
    <xf numFmtId="0" fontId="78" fillId="0" borderId="0" xfId="35" applyFont="1" applyAlignment="1">
      <alignment horizontal="right"/>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79" fillId="0" borderId="1" xfId="35" applyFont="1" applyBorder="1" applyAlignment="1">
      <alignment horizontal="center" vertical="center"/>
    </xf>
    <xf numFmtId="0" fontId="78" fillId="0" borderId="0" xfId="35" applyFont="1" applyBorder="1" applyAlignment="1">
      <alignment horizontal="center" vertical="center"/>
    </xf>
    <xf numFmtId="0" fontId="78" fillId="0" borderId="0" xfId="35" applyFont="1" applyAlignment="1"/>
    <xf numFmtId="0" fontId="79" fillId="0" borderId="0" xfId="35" applyFont="1" applyAlignment="1"/>
    <xf numFmtId="0" fontId="33" fillId="0" borderId="0" xfId="35" applyFont="1" applyAlignment="1"/>
    <xf numFmtId="0" fontId="7"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2" fillId="0" borderId="0" xfId="36" applyFont="1" applyBorder="1" applyAlignment="1">
      <alignment horizontal="center"/>
    </xf>
    <xf numFmtId="0" fontId="48" fillId="0" borderId="4" xfId="36" applyFont="1" applyBorder="1" applyAlignment="1">
      <alignment horizontal="center"/>
    </xf>
    <xf numFmtId="179" fontId="2" fillId="0" borderId="20" xfId="36" applyNumberFormat="1" applyFont="1" applyBorder="1" applyAlignment="1">
      <alignment horizontal="center"/>
    </xf>
    <xf numFmtId="0" fontId="2" fillId="0" borderId="4" xfId="36" applyFont="1" applyBorder="1" applyAlignment="1">
      <alignment horizontal="center"/>
    </xf>
    <xf numFmtId="179" fontId="8" fillId="0" borderId="0" xfId="36" applyNumberFormat="1" applyFont="1" applyBorder="1" applyAlignment="1">
      <alignment horizontal="center"/>
    </xf>
    <xf numFmtId="179" fontId="0" fillId="0" borderId="0" xfId="36" applyNumberFormat="1" applyFont="1" applyBorder="1" applyAlignment="1">
      <alignment horizontal="center"/>
    </xf>
    <xf numFmtId="0" fontId="2" fillId="0" borderId="32" xfId="36" applyFont="1" applyBorder="1" applyAlignment="1">
      <alignment horizontal="center" vertical="center"/>
    </xf>
    <xf numFmtId="0" fontId="2" fillId="0" borderId="5" xfId="36" applyFont="1" applyBorder="1" applyAlignment="1">
      <alignment horizontal="center" vertical="center"/>
    </xf>
    <xf numFmtId="0" fontId="2" fillId="0" borderId="6" xfId="36" applyFont="1" applyBorder="1" applyAlignment="1">
      <alignment horizontal="center" vertical="center"/>
    </xf>
    <xf numFmtId="0" fontId="2" fillId="12" borderId="6" xfId="36" applyFont="1" applyFill="1" applyBorder="1" applyAlignment="1">
      <alignment horizontal="center" vertical="center"/>
    </xf>
    <xf numFmtId="0" fontId="7" fillId="0" borderId="0" xfId="36" applyFont="1" applyFill="1" applyBorder="1" applyAlignment="1">
      <alignment horizontal="center"/>
    </xf>
    <xf numFmtId="0" fontId="3" fillId="0" borderId="0" xfId="36" applyFont="1" applyFill="1" applyBorder="1" applyAlignment="1">
      <alignment horizontal="center"/>
    </xf>
    <xf numFmtId="0" fontId="2" fillId="0" borderId="0" xfId="36" applyFont="1"/>
    <xf numFmtId="0" fontId="4" fillId="0" borderId="5" xfId="36" applyNumberFormat="1" applyFont="1" applyBorder="1" applyAlignment="1">
      <alignment horizontal="center"/>
    </xf>
    <xf numFmtId="0" fontId="2" fillId="0" borderId="6" xfId="36" applyFont="1" applyBorder="1" applyAlignment="1">
      <alignment horizontal="center"/>
    </xf>
    <xf numFmtId="0" fontId="2" fillId="12" borderId="6" xfId="36" applyFont="1" applyFill="1" applyBorder="1" applyAlignment="1">
      <alignment horizontal="center"/>
    </xf>
    <xf numFmtId="0" fontId="2" fillId="0" borderId="5" xfId="36" applyNumberFormat="1" applyFont="1" applyBorder="1" applyAlignment="1">
      <alignment horizontal="center"/>
    </xf>
    <xf numFmtId="0" fontId="2" fillId="0" borderId="37" xfId="36" applyNumberFormat="1" applyFont="1" applyBorder="1" applyAlignment="1">
      <alignment horizontal="center"/>
    </xf>
    <xf numFmtId="0" fontId="4" fillId="0" borderId="34" xfId="36" applyFont="1" applyBorder="1" applyAlignment="1">
      <alignment horizontal="center"/>
    </xf>
    <xf numFmtId="0" fontId="2" fillId="0" borderId="34" xfId="36" applyFont="1" applyBorder="1" applyAlignment="1">
      <alignment horizontal="center"/>
    </xf>
    <xf numFmtId="0" fontId="2" fillId="0" borderId="30" xfId="36" applyNumberFormat="1" applyFont="1" applyBorder="1" applyAlignment="1">
      <alignment horizontal="center"/>
    </xf>
    <xf numFmtId="0" fontId="2" fillId="0" borderId="13" xfId="36" applyFont="1" applyBorder="1" applyAlignment="1">
      <alignment horizontal="center" vertical="center"/>
    </xf>
    <xf numFmtId="0" fontId="2" fillId="0" borderId="13" xfId="36" applyFont="1" applyBorder="1" applyAlignment="1">
      <alignment horizontal="center"/>
    </xf>
    <xf numFmtId="0" fontId="2" fillId="12" borderId="13" xfId="36" applyFont="1" applyFill="1" applyBorder="1" applyAlignment="1">
      <alignment horizontal="center"/>
    </xf>
    <xf numFmtId="0" fontId="0" fillId="14" borderId="0" xfId="36" applyFont="1" applyFill="1" applyAlignment="1">
      <alignment vertical="center"/>
    </xf>
    <xf numFmtId="0" fontId="2" fillId="0" borderId="0" xfId="36" applyFont="1" applyAlignment="1">
      <alignment vertical="center"/>
    </xf>
    <xf numFmtId="0" fontId="0" fillId="0" borderId="0" xfId="36" applyFont="1" applyAlignment="1">
      <alignment vertical="center"/>
    </xf>
    <xf numFmtId="0" fontId="2" fillId="0" borderId="0" xfId="36" applyNumberFormat="1" applyFont="1" applyBorder="1" applyAlignment="1">
      <alignment vertical="center"/>
    </xf>
    <xf numFmtId="0" fontId="7" fillId="0" borderId="0" xfId="36" applyFont="1" applyBorder="1" applyAlignment="1">
      <alignment horizontal="center" vertical="center"/>
    </xf>
    <xf numFmtId="0" fontId="6" fillId="0" borderId="0" xfId="36" applyFont="1" applyBorder="1" applyAlignment="1">
      <alignment vertical="center"/>
    </xf>
    <xf numFmtId="0" fontId="6" fillId="14" borderId="0" xfId="36" applyFont="1" applyFill="1" applyAlignment="1">
      <alignment vertical="center"/>
    </xf>
    <xf numFmtId="0" fontId="6" fillId="0" borderId="0" xfId="36" applyFont="1" applyAlignment="1">
      <alignment vertical="center"/>
    </xf>
    <xf numFmtId="58" fontId="49" fillId="0" borderId="0" xfId="36" applyNumberFormat="1" applyFont="1" applyBorder="1"/>
    <xf numFmtId="0" fontId="50" fillId="0" borderId="0" xfId="36" applyFont="1"/>
    <xf numFmtId="0" fontId="6" fillId="0" borderId="0" xfId="36" applyFont="1"/>
    <xf numFmtId="0" fontId="6" fillId="0" borderId="0" xfId="36" applyFont="1" applyBorder="1" applyAlignment="1">
      <alignment horizontal="center"/>
    </xf>
    <xf numFmtId="0" fontId="49" fillId="0" borderId="0" xfId="36" applyFont="1" applyBorder="1" applyAlignment="1">
      <alignment horizontal="center"/>
    </xf>
    <xf numFmtId="0" fontId="6" fillId="0" borderId="0" xfId="36" applyFont="1" applyBorder="1"/>
    <xf numFmtId="0" fontId="44" fillId="0" borderId="0" xfId="36" applyFont="1"/>
    <xf numFmtId="0" fontId="2" fillId="0" borderId="0" xfId="36" applyNumberFormat="1" applyFont="1" applyBorder="1"/>
    <xf numFmtId="0" fontId="2" fillId="0" borderId="0" xfId="36" applyFont="1" applyBorder="1"/>
    <xf numFmtId="0" fontId="6" fillId="0" borderId="0" xfId="33" applyFont="1" applyAlignment="1">
      <alignment vertical="center"/>
    </xf>
    <xf numFmtId="0" fontId="81" fillId="0" borderId="0" xfId="37" applyFont="1" applyProtection="1">
      <alignment vertical="center"/>
      <protection locked="0"/>
    </xf>
    <xf numFmtId="0" fontId="37"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2" fillId="0" borderId="0" xfId="33" applyFont="1" applyAlignment="1">
      <alignment vertical="center"/>
    </xf>
    <xf numFmtId="0" fontId="2" fillId="0" borderId="0" xfId="33" applyFont="1" applyBorder="1"/>
    <xf numFmtId="0" fontId="0" fillId="15" borderId="0" xfId="33" applyFont="1" applyFill="1" applyAlignment="1">
      <alignment vertical="center"/>
    </xf>
    <xf numFmtId="0" fontId="0" fillId="15" borderId="0" xfId="33" applyFont="1" applyFill="1" applyAlignment="1">
      <alignment horizontal="center" vertical="center"/>
    </xf>
    <xf numFmtId="0" fontId="2" fillId="9" borderId="0" xfId="33" applyFont="1" applyFill="1" applyAlignment="1">
      <alignment horizontal="center" vertical="center"/>
    </xf>
    <xf numFmtId="0" fontId="82" fillId="15" borderId="0" xfId="33" applyFont="1" applyFill="1" applyAlignment="1">
      <alignment vertical="center"/>
    </xf>
    <xf numFmtId="0" fontId="82" fillId="15" borderId="0" xfId="33" applyFont="1" applyFill="1" applyAlignment="1">
      <alignment horizontal="center" vertical="center"/>
    </xf>
    <xf numFmtId="0" fontId="2" fillId="15" borderId="0" xfId="33" applyFont="1" applyFill="1" applyAlignment="1">
      <alignment vertical="center"/>
    </xf>
    <xf numFmtId="0" fontId="2" fillId="16" borderId="0" xfId="33" applyFont="1" applyFill="1" applyAlignment="1">
      <alignment vertical="center"/>
    </xf>
    <xf numFmtId="0" fontId="2" fillId="17" borderId="0" xfId="33" applyFont="1" applyFill="1" applyAlignment="1">
      <alignment vertical="center"/>
    </xf>
    <xf numFmtId="0" fontId="7" fillId="0" borderId="0" xfId="33" applyFont="1" applyBorder="1" applyAlignment="1">
      <alignment vertical="center"/>
    </xf>
    <xf numFmtId="0" fontId="7" fillId="0" borderId="0" xfId="33" applyFont="1" applyBorder="1" applyAlignment="1">
      <alignment horizontal="center" vertical="center"/>
    </xf>
    <xf numFmtId="0" fontId="0" fillId="15" borderId="0" xfId="33" applyFont="1" applyFill="1" applyAlignment="1">
      <alignment horizontal="left" vertical="center"/>
    </xf>
    <xf numFmtId="0" fontId="2" fillId="9" borderId="1" xfId="33" applyFont="1" applyFill="1" applyBorder="1" applyAlignment="1">
      <alignment horizontal="left" vertical="center"/>
    </xf>
    <xf numFmtId="0" fontId="2" fillId="9" borderId="0" xfId="33" applyFont="1" applyFill="1" applyAlignment="1">
      <alignment horizontal="left" vertical="center"/>
    </xf>
    <xf numFmtId="0" fontId="2" fillId="0" borderId="83" xfId="33" applyFont="1" applyFill="1" applyBorder="1" applyAlignment="1">
      <alignment horizontal="center" vertical="center"/>
    </xf>
    <xf numFmtId="0" fontId="2" fillId="0" borderId="80" xfId="33" applyFont="1" applyFill="1" applyBorder="1" applyAlignment="1">
      <alignment horizontal="center" vertical="center"/>
    </xf>
    <xf numFmtId="182" fontId="2" fillId="0" borderId="91" xfId="33" applyNumberFormat="1" applyFont="1" applyFill="1" applyBorder="1" applyAlignment="1">
      <alignment horizontal="center" vertical="center"/>
    </xf>
    <xf numFmtId="182" fontId="2" fillId="0" borderId="80" xfId="33" applyNumberFormat="1" applyFont="1" applyFill="1" applyBorder="1" applyAlignment="1">
      <alignment horizontal="center" vertical="center"/>
    </xf>
    <xf numFmtId="0" fontId="2" fillId="0" borderId="81" xfId="33" applyFont="1" applyFill="1" applyBorder="1" applyAlignment="1">
      <alignment horizontal="center" vertical="center"/>
    </xf>
    <xf numFmtId="0" fontId="7" fillId="8" borderId="1" xfId="33" applyFont="1" applyFill="1" applyBorder="1" applyAlignment="1">
      <alignment horizontal="center" vertical="center"/>
    </xf>
    <xf numFmtId="182" fontId="7" fillId="8" borderId="3" xfId="33" applyNumberFormat="1" applyFont="1" applyFill="1" applyBorder="1" applyAlignment="1">
      <alignment horizontal="center" vertical="center"/>
    </xf>
    <xf numFmtId="178" fontId="7" fillId="8" borderId="3" xfId="33" applyNumberFormat="1" applyFont="1" applyFill="1" applyBorder="1" applyAlignment="1">
      <alignment horizontal="center" vertical="center"/>
    </xf>
    <xf numFmtId="0" fontId="7" fillId="8" borderId="20" xfId="33" applyFont="1" applyFill="1" applyBorder="1" applyAlignment="1">
      <alignment horizontal="center" vertical="center"/>
    </xf>
    <xf numFmtId="0" fontId="7" fillId="8" borderId="19" xfId="33" applyFont="1" applyFill="1" applyBorder="1" applyAlignment="1">
      <alignment horizontal="center" vertical="center"/>
    </xf>
    <xf numFmtId="182" fontId="7" fillId="8" borderId="1" xfId="33" applyNumberFormat="1" applyFont="1" applyFill="1" applyBorder="1" applyAlignment="1">
      <alignment horizontal="center"/>
    </xf>
    <xf numFmtId="0" fontId="7" fillId="8" borderId="85" xfId="33" applyFont="1" applyFill="1" applyBorder="1" applyAlignment="1">
      <alignment horizontal="center" vertical="center"/>
    </xf>
    <xf numFmtId="182" fontId="7" fillId="8" borderId="1" xfId="33" applyNumberFormat="1" applyFont="1" applyFill="1" applyBorder="1" applyAlignment="1">
      <alignment horizontal="center" vertical="center"/>
    </xf>
    <xf numFmtId="182" fontId="7" fillId="0" borderId="3"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8" borderId="19" xfId="33" applyFont="1" applyFill="1" applyBorder="1" applyAlignment="1">
      <alignment horizontal="center" vertical="center" wrapText="1"/>
    </xf>
    <xf numFmtId="0" fontId="7" fillId="8" borderId="3" xfId="33" applyFont="1" applyFill="1" applyBorder="1" applyAlignment="1">
      <alignment horizontal="center" vertical="center"/>
    </xf>
    <xf numFmtId="0" fontId="83" fillId="18" borderId="1" xfId="33" applyFont="1" applyFill="1" applyBorder="1" applyAlignment="1">
      <alignment vertical="center" wrapText="1"/>
    </xf>
    <xf numFmtId="0" fontId="83" fillId="18" borderId="1" xfId="33" applyFont="1" applyFill="1" applyBorder="1" applyAlignment="1">
      <alignment horizontal="center" vertical="center"/>
    </xf>
    <xf numFmtId="0" fontId="83" fillId="18" borderId="1" xfId="33" applyFont="1" applyFill="1" applyBorder="1"/>
    <xf numFmtId="0" fontId="2" fillId="18" borderId="2" xfId="33" applyFont="1" applyFill="1" applyBorder="1" applyAlignment="1">
      <alignment horizontal="center" vertical="center" wrapText="1"/>
    </xf>
    <xf numFmtId="0" fontId="2" fillId="18" borderId="1" xfId="33" applyFont="1" applyFill="1" applyBorder="1" applyAlignment="1">
      <alignment horizontal="center" vertical="center"/>
    </xf>
    <xf numFmtId="0" fontId="0" fillId="18" borderId="1" xfId="33" applyFont="1" applyFill="1" applyBorder="1" applyAlignment="1">
      <alignment horizontal="center" vertical="center"/>
    </xf>
    <xf numFmtId="0" fontId="0" fillId="18" borderId="1" xfId="33" applyFont="1" applyFill="1" applyBorder="1"/>
    <xf numFmtId="0" fontId="83" fillId="18" borderId="2" xfId="33" applyFont="1" applyFill="1" applyBorder="1" applyAlignment="1">
      <alignment horizontal="center" vertical="center" wrapText="1"/>
    </xf>
    <xf numFmtId="0" fontId="7" fillId="8" borderId="94" xfId="33" applyFont="1" applyFill="1" applyBorder="1" applyAlignment="1">
      <alignment horizontal="center" vertical="center"/>
    </xf>
    <xf numFmtId="0" fontId="7" fillId="8" borderId="3" xfId="33" applyFont="1" applyFill="1" applyBorder="1" applyAlignment="1">
      <alignment horizontal="center" vertical="center" wrapText="1"/>
    </xf>
    <xf numFmtId="0" fontId="83" fillId="18" borderId="16" xfId="33" applyFont="1" applyFill="1" applyBorder="1" applyAlignment="1">
      <alignment horizontal="center" vertical="center" wrapText="1"/>
    </xf>
    <xf numFmtId="0" fontId="83" fillId="15" borderId="1" xfId="33" applyFont="1" applyFill="1" applyBorder="1" applyAlignment="1">
      <alignment horizontal="center" vertical="center"/>
    </xf>
    <xf numFmtId="0" fontId="83" fillId="15" borderId="1" xfId="33" applyFont="1" applyFill="1" applyBorder="1"/>
    <xf numFmtId="182" fontId="7" fillId="8" borderId="87" xfId="33" applyNumberFormat="1" applyFont="1" applyFill="1" applyBorder="1" applyAlignment="1">
      <alignment horizontal="center" vertical="center"/>
    </xf>
    <xf numFmtId="0" fontId="7" fillId="8" borderId="87" xfId="33" applyFont="1" applyFill="1" applyBorder="1" applyAlignment="1">
      <alignment horizontal="center" vertical="center"/>
    </xf>
    <xf numFmtId="0" fontId="7" fillId="8" borderId="88" xfId="33" applyFont="1" applyFill="1" applyBorder="1" applyAlignment="1">
      <alignment horizontal="center" vertical="center"/>
    </xf>
    <xf numFmtId="0" fontId="9" fillId="0" borderId="0" xfId="33" applyFont="1" applyFill="1"/>
    <xf numFmtId="182" fontId="9" fillId="0" borderId="0" xfId="33" applyNumberFormat="1" applyFont="1" applyFill="1"/>
    <xf numFmtId="0" fontId="9" fillId="0" borderId="0" xfId="33" applyFont="1" applyFill="1" applyBorder="1"/>
    <xf numFmtId="182" fontId="9" fillId="0" borderId="0" xfId="33" applyNumberFormat="1" applyFont="1" applyFill="1" applyBorder="1"/>
    <xf numFmtId="0" fontId="2" fillId="0" borderId="0" xfId="33" applyFont="1" applyFill="1"/>
    <xf numFmtId="0" fontId="2" fillId="0" borderId="0" xfId="33" applyFont="1" applyFill="1" applyAlignment="1">
      <alignment horizontal="right" vertical="center"/>
    </xf>
    <xf numFmtId="0" fontId="2" fillId="0" borderId="0" xfId="33" applyFont="1" applyFill="1" applyAlignment="1">
      <alignment horizontal="center" vertical="center"/>
    </xf>
    <xf numFmtId="182" fontId="9" fillId="0" borderId="0" xfId="33" applyNumberFormat="1" applyFont="1" applyFill="1" applyBorder="1" applyAlignment="1">
      <alignment horizontal="center"/>
    </xf>
    <xf numFmtId="0" fontId="2" fillId="0" borderId="1" xfId="33" applyFont="1" applyBorder="1"/>
    <xf numFmtId="0" fontId="2" fillId="0" borderId="1" xfId="33" applyFont="1" applyBorder="1" applyAlignment="1">
      <alignment horizontal="center" vertical="center"/>
    </xf>
    <xf numFmtId="0" fontId="2" fillId="15" borderId="1" xfId="33" applyFont="1" applyFill="1" applyBorder="1" applyAlignment="1">
      <alignment horizontal="center" vertical="center"/>
    </xf>
    <xf numFmtId="0" fontId="2" fillId="15" borderId="1" xfId="33" applyFont="1" applyFill="1" applyBorder="1"/>
    <xf numFmtId="0" fontId="9" fillId="0" borderId="0" xfId="33" applyFont="1" applyFill="1" applyAlignment="1">
      <alignment horizontal="center" vertical="center"/>
    </xf>
    <xf numFmtId="182" fontId="2" fillId="0" borderId="0" xfId="33" applyNumberFormat="1" applyFont="1" applyFill="1" applyAlignment="1">
      <alignment horizontal="center" vertical="center"/>
    </xf>
    <xf numFmtId="0" fontId="2" fillId="0" borderId="0" xfId="33" applyFont="1" applyFill="1" applyAlignment="1">
      <alignment vertical="center"/>
    </xf>
    <xf numFmtId="0" fontId="2" fillId="0" borderId="0" xfId="33" applyFont="1" applyFill="1" applyBorder="1" applyAlignment="1">
      <alignment horizontal="center" vertical="center"/>
    </xf>
    <xf numFmtId="0" fontId="33" fillId="0" borderId="0" xfId="32" applyFont="1" applyAlignment="1">
      <alignment horizontal="center" vertical="center"/>
    </xf>
    <xf numFmtId="0" fontId="33" fillId="0" borderId="0" xfId="32"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58" fillId="0" borderId="20" xfId="33" applyFont="1" applyBorder="1" applyAlignment="1">
      <alignment horizontal="center"/>
    </xf>
    <xf numFmtId="0" fontId="69"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4" fillId="0" borderId="0" xfId="38" applyFont="1"/>
    <xf numFmtId="0" fontId="58" fillId="0" borderId="0" xfId="38" applyFont="1" applyBorder="1" applyAlignment="1">
      <alignment horizontal="center"/>
    </xf>
    <xf numFmtId="0" fontId="58" fillId="0" borderId="0" xfId="38" applyFont="1"/>
    <xf numFmtId="0" fontId="58" fillId="0" borderId="4" xfId="38" applyFont="1" applyBorder="1" applyAlignment="1">
      <alignment horizontal="center"/>
    </xf>
    <xf numFmtId="179" fontId="58" fillId="0" borderId="20" xfId="38" applyNumberFormat="1" applyFont="1" applyBorder="1" applyAlignment="1">
      <alignment horizontal="center"/>
    </xf>
    <xf numFmtId="0" fontId="58" fillId="0" borderId="0" xfId="38" applyFont="1" applyBorder="1" applyAlignment="1">
      <alignment horizontal="left"/>
    </xf>
    <xf numFmtId="0" fontId="58" fillId="0" borderId="0" xfId="38" applyFont="1" applyAlignment="1">
      <alignment horizontal="center"/>
    </xf>
    <xf numFmtId="0" fontId="58" fillId="0" borderId="0" xfId="38" applyFont="1" applyBorder="1" applyAlignment="1"/>
    <xf numFmtId="0" fontId="58" fillId="0" borderId="20" xfId="38" applyFont="1" applyBorder="1" applyAlignment="1">
      <alignment horizontal="center"/>
    </xf>
    <xf numFmtId="0" fontId="58" fillId="0" borderId="1" xfId="38" applyFont="1" applyBorder="1" applyAlignment="1">
      <alignment horizontal="center"/>
    </xf>
    <xf numFmtId="0" fontId="0" fillId="0" borderId="1" xfId="38" applyFont="1" applyBorder="1" applyAlignment="1">
      <alignment horizontal="center"/>
    </xf>
    <xf numFmtId="0" fontId="49" fillId="0" borderId="1" xfId="38" applyNumberFormat="1" applyFont="1" applyBorder="1" applyAlignment="1">
      <alignment horizontal="center"/>
    </xf>
    <xf numFmtId="0" fontId="49" fillId="0" borderId="1" xfId="38" applyFont="1" applyBorder="1" applyAlignment="1">
      <alignment horizontal="center"/>
    </xf>
    <xf numFmtId="0" fontId="0" fillId="3" borderId="0" xfId="38" applyFont="1" applyFill="1" applyAlignment="1">
      <alignment horizontal="center"/>
    </xf>
    <xf numFmtId="0" fontId="69" fillId="0" borderId="1" xfId="38" applyFont="1" applyBorder="1" applyAlignment="1">
      <alignment horizontal="center"/>
    </xf>
    <xf numFmtId="0" fontId="69" fillId="0" borderId="1" xfId="38" applyNumberFormat="1" applyFont="1" applyBorder="1" applyAlignment="1">
      <alignment horizontal="center"/>
    </xf>
    <xf numFmtId="0" fontId="69" fillId="0" borderId="1" xfId="38" applyNumberFormat="1" applyFont="1" applyBorder="1"/>
    <xf numFmtId="0" fontId="49" fillId="0" borderId="1" xfId="38" applyNumberFormat="1" applyFont="1" applyBorder="1"/>
    <xf numFmtId="0" fontId="58" fillId="3" borderId="1" xfId="38" applyNumberFormat="1" applyFont="1" applyFill="1" applyBorder="1"/>
    <xf numFmtId="0" fontId="69" fillId="3" borderId="1" xfId="38" applyFont="1" applyFill="1" applyBorder="1" applyAlignment="1">
      <alignment horizontal="center"/>
    </xf>
    <xf numFmtId="0" fontId="58" fillId="3" borderId="1" xfId="38" applyFont="1" applyFill="1" applyBorder="1" applyAlignment="1">
      <alignment horizontal="center"/>
    </xf>
    <xf numFmtId="0" fontId="49" fillId="3" borderId="1" xfId="38" applyFont="1" applyFill="1" applyBorder="1" applyAlignment="1">
      <alignment horizontal="center"/>
    </xf>
    <xf numFmtId="0" fontId="0" fillId="3" borderId="1" xfId="38" applyFont="1" applyFill="1" applyBorder="1" applyAlignment="1">
      <alignment horizontal="center"/>
    </xf>
    <xf numFmtId="0" fontId="58" fillId="0" borderId="1" xfId="38" applyNumberFormat="1" applyFont="1" applyBorder="1"/>
    <xf numFmtId="0" fontId="4" fillId="0" borderId="1" xfId="38" applyFont="1" applyBorder="1" applyAlignment="1">
      <alignment horizontal="center"/>
    </xf>
    <xf numFmtId="0" fontId="63" fillId="2" borderId="1" xfId="38" applyNumberFormat="1" applyFont="1" applyFill="1" applyBorder="1"/>
    <xf numFmtId="0" fontId="58" fillId="2" borderId="1" xfId="38" applyFont="1" applyFill="1" applyBorder="1" applyAlignment="1">
      <alignment horizontal="center"/>
    </xf>
    <xf numFmtId="0" fontId="0" fillId="2" borderId="1" xfId="38" applyFont="1" applyFill="1" applyBorder="1" applyAlignment="1">
      <alignment horizontal="center"/>
    </xf>
    <xf numFmtId="0" fontId="4" fillId="2" borderId="1" xfId="38" applyFont="1" applyFill="1" applyBorder="1" applyAlignment="1">
      <alignment horizontal="center"/>
    </xf>
    <xf numFmtId="58" fontId="49" fillId="0" borderId="0" xfId="38" applyNumberFormat="1" applyFont="1" applyBorder="1"/>
    <xf numFmtId="0" fontId="70" fillId="0" borderId="0" xfId="38" applyFont="1"/>
    <xf numFmtId="0" fontId="69" fillId="0" borderId="0" xfId="38" applyFont="1"/>
    <xf numFmtId="0" fontId="69" fillId="0" borderId="0" xfId="38" applyFont="1" applyBorder="1" applyAlignment="1">
      <alignment horizontal="center"/>
    </xf>
    <xf numFmtId="0" fontId="49" fillId="0" borderId="0" xfId="38" applyFont="1" applyBorder="1" applyAlignment="1">
      <alignment horizontal="center"/>
    </xf>
    <xf numFmtId="0" fontId="69" fillId="0" borderId="0" xfId="38" applyFont="1" applyBorder="1"/>
    <xf numFmtId="0" fontId="58" fillId="0" borderId="0" xfId="38" applyNumberFormat="1" applyFont="1" applyBorder="1"/>
    <xf numFmtId="0" fontId="58" fillId="0" borderId="0" xfId="38" applyFont="1" applyBorder="1"/>
    <xf numFmtId="58" fontId="51" fillId="0" borderId="0" xfId="38" applyNumberFormat="1" applyFont="1" applyBorder="1"/>
    <xf numFmtId="0" fontId="71" fillId="0" borderId="0" xfId="38" applyFont="1" applyBorder="1" applyAlignment="1">
      <alignment horizontal="center"/>
    </xf>
    <xf numFmtId="0" fontId="51" fillId="0" borderId="0" xfId="38" applyFont="1" applyBorder="1" applyAlignment="1">
      <alignment horizontal="center"/>
    </xf>
    <xf numFmtId="0" fontId="71" fillId="0" borderId="0" xfId="38" applyFont="1" applyBorder="1"/>
    <xf numFmtId="0" fontId="71" fillId="0" borderId="0" xfId="38" applyFont="1"/>
    <xf numFmtId="0" fontId="88" fillId="0" borderId="0" xfId="38" applyFont="1"/>
    <xf numFmtId="0" fontId="4" fillId="0" borderId="0" xfId="33" applyFont="1"/>
    <xf numFmtId="0" fontId="58" fillId="0" borderId="0" xfId="33" applyFont="1"/>
    <xf numFmtId="179" fontId="63" fillId="0" borderId="20" xfId="33" applyNumberFormat="1" applyFont="1" applyBorder="1" applyAlignment="1">
      <alignment horizontal="center"/>
    </xf>
    <xf numFmtId="0" fontId="58" fillId="0" borderId="0" xfId="33" applyFont="1" applyBorder="1" applyAlignment="1">
      <alignment horizontal="left"/>
    </xf>
    <xf numFmtId="0" fontId="58" fillId="0" borderId="0" xfId="33" applyFont="1" applyBorder="1" applyAlignment="1"/>
    <xf numFmtId="0" fontId="58" fillId="0" borderId="4" xfId="33" applyFont="1" applyBorder="1" applyAlignment="1"/>
    <xf numFmtId="0" fontId="58" fillId="0" borderId="1" xfId="33" applyFont="1" applyBorder="1" applyAlignment="1">
      <alignment horizontal="center"/>
    </xf>
    <xf numFmtId="0" fontId="4" fillId="0" borderId="1" xfId="33" applyNumberFormat="1" applyFont="1" applyBorder="1"/>
    <xf numFmtId="0" fontId="4" fillId="0" borderId="1" xfId="33" applyFont="1" applyBorder="1" applyAlignment="1">
      <alignment horizontal="center"/>
    </xf>
    <xf numFmtId="0" fontId="4" fillId="0" borderId="2" xfId="33" applyFont="1" applyFill="1" applyBorder="1" applyAlignment="1">
      <alignment horizontal="center"/>
    </xf>
    <xf numFmtId="0" fontId="58" fillId="0" borderId="1" xfId="33" applyFont="1" applyBorder="1"/>
    <xf numFmtId="183" fontId="4" fillId="0" borderId="1" xfId="33" applyNumberFormat="1" applyFont="1" applyBorder="1"/>
    <xf numFmtId="0" fontId="58" fillId="0" borderId="1" xfId="33" applyNumberFormat="1" applyFont="1" applyBorder="1"/>
    <xf numFmtId="0" fontId="4" fillId="0" borderId="1" xfId="33" applyFont="1" applyBorder="1"/>
    <xf numFmtId="0" fontId="58" fillId="20" borderId="1" xfId="33" applyNumberFormat="1" applyFont="1" applyFill="1" applyBorder="1"/>
    <xf numFmtId="0" fontId="58" fillId="20" borderId="1" xfId="33" applyFont="1" applyFill="1" applyBorder="1" applyAlignment="1">
      <alignment horizontal="center"/>
    </xf>
    <xf numFmtId="0" fontId="4" fillId="20" borderId="1" xfId="33" applyFont="1" applyFill="1" applyBorder="1"/>
    <xf numFmtId="0" fontId="0" fillId="20" borderId="1" xfId="33" applyFont="1" applyFill="1" applyBorder="1" applyAlignment="1">
      <alignment horizontal="center"/>
    </xf>
    <xf numFmtId="0" fontId="89" fillId="2" borderId="1" xfId="33" applyNumberFormat="1" applyFont="1" applyFill="1" applyBorder="1"/>
    <xf numFmtId="0" fontId="58" fillId="2" borderId="1" xfId="33" applyFont="1" applyFill="1" applyBorder="1" applyAlignment="1">
      <alignment horizontal="center"/>
    </xf>
    <xf numFmtId="0" fontId="0" fillId="2" borderId="1" xfId="33" applyFont="1" applyFill="1" applyBorder="1" applyAlignment="1">
      <alignment horizontal="center"/>
    </xf>
    <xf numFmtId="0" fontId="63" fillId="2" borderId="1" xfId="33" applyNumberFormat="1" applyFont="1" applyFill="1" applyBorder="1" applyAlignment="1">
      <alignment wrapText="1"/>
    </xf>
    <xf numFmtId="0" fontId="4" fillId="2" borderId="1" xfId="33" applyFont="1" applyFill="1" applyBorder="1"/>
    <xf numFmtId="0" fontId="88" fillId="0" borderId="0" xfId="33" applyFont="1"/>
    <xf numFmtId="0" fontId="31" fillId="2" borderId="4" xfId="4" applyFont="1" applyFill="1" applyBorder="1" applyAlignment="1">
      <alignment horizontal="center" vertical="center"/>
    </xf>
    <xf numFmtId="0" fontId="33" fillId="0" borderId="1" xfId="5"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2" fillId="0" borderId="0" xfId="31" applyFont="1" applyBorder="1" applyAlignment="1">
      <alignment horizontal="center"/>
    </xf>
    <xf numFmtId="0" fontId="6" fillId="0" borderId="0" xfId="31" applyFont="1" applyBorder="1" applyAlignment="1">
      <alignment horizontal="center"/>
    </xf>
    <xf numFmtId="0" fontId="2" fillId="0" borderId="0" xfId="31" applyFont="1" applyAlignment="1">
      <alignment horizontal="center"/>
    </xf>
    <xf numFmtId="0" fontId="2" fillId="0" borderId="0" xfId="29" applyFont="1" applyFill="1" applyAlignment="1">
      <alignment horizontal="center" vertical="center"/>
    </xf>
    <xf numFmtId="0" fontId="2" fillId="0" borderId="0" xfId="29" applyFont="1" applyFill="1" applyAlignment="1">
      <alignment horizontal="right" vertical="center"/>
    </xf>
    <xf numFmtId="0" fontId="2" fillId="0" borderId="6" xfId="29"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9" fillId="0" borderId="0" xfId="0" applyFont="1">
      <alignment vertical="center"/>
    </xf>
    <xf numFmtId="0" fontId="9" fillId="0" borderId="1"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Border="1">
      <alignment vertical="center"/>
    </xf>
    <xf numFmtId="0" fontId="20" fillId="0" borderId="1" xfId="0" applyFont="1" applyFill="1" applyBorder="1" applyAlignment="1">
      <alignment horizontal="center" vertical="center"/>
    </xf>
    <xf numFmtId="178" fontId="20" fillId="0" borderId="1" xfId="0" applyNumberFormat="1" applyFont="1" applyBorder="1" applyAlignment="1">
      <alignment horizontal="center" vertical="center"/>
    </xf>
    <xf numFmtId="0" fontId="93" fillId="0" borderId="1" xfId="0" applyFont="1" applyFill="1" applyBorder="1" applyAlignment="1">
      <alignment horizontal="center" vertical="center" wrapText="1"/>
    </xf>
    <xf numFmtId="0" fontId="9" fillId="0" borderId="1" xfId="39" applyFont="1" applyFill="1" applyBorder="1" applyAlignment="1">
      <alignment horizontal="center" vertical="center" wrapText="1"/>
    </xf>
    <xf numFmtId="0" fontId="20" fillId="0" borderId="0" xfId="0" applyFont="1" applyBorder="1" applyAlignment="1">
      <alignment horizontal="center" vertical="center"/>
    </xf>
    <xf numFmtId="0" fontId="93" fillId="0" borderId="0" xfId="0" applyFont="1" applyFill="1" applyBorder="1" applyAlignment="1">
      <alignment horizontal="center" vertical="center" wrapText="1"/>
    </xf>
    <xf numFmtId="0" fontId="20" fillId="0" borderId="0" xfId="0" applyFont="1" applyBorder="1">
      <alignment vertical="center"/>
    </xf>
    <xf numFmtId="0" fontId="93" fillId="0" borderId="0" xfId="0" applyFont="1" applyFill="1" applyBorder="1" applyAlignment="1">
      <alignment horizontal="center" wrapText="1"/>
    </xf>
    <xf numFmtId="0" fontId="9" fillId="0" borderId="0" xfId="39"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0" xfId="0" applyNumberFormat="1" applyFont="1" applyBorder="1" applyAlignment="1">
      <alignment horizontal="center" vertical="center" wrapText="1"/>
    </xf>
    <xf numFmtId="0" fontId="9" fillId="0" borderId="0" xfId="0" applyFont="1" applyBorder="1">
      <alignment vertical="center"/>
    </xf>
    <xf numFmtId="0" fontId="9" fillId="0" borderId="0" xfId="0" applyFont="1" applyBorder="1" applyAlignment="1">
      <alignment horizontal="center" vertical="center"/>
    </xf>
    <xf numFmtId="0" fontId="9" fillId="0" borderId="0" xfId="0" applyFont="1" applyAlignment="1">
      <alignment horizontal="center" vertical="center"/>
    </xf>
    <xf numFmtId="0" fontId="22" fillId="0" borderId="1" xfId="0" applyFont="1" applyBorder="1" applyAlignment="1">
      <alignment horizontal="center" vertical="center"/>
    </xf>
    <xf numFmtId="0" fontId="7" fillId="0" borderId="1" xfId="39" applyFont="1" applyFill="1" applyBorder="1" applyAlignment="1">
      <alignment horizontal="center" vertical="center" wrapText="1"/>
    </xf>
    <xf numFmtId="0" fontId="7" fillId="0" borderId="0" xfId="0" applyFont="1">
      <alignment vertical="center"/>
    </xf>
    <xf numFmtId="0" fontId="20" fillId="0" borderId="1" xfId="0" applyFont="1" applyBorder="1" applyAlignment="1">
      <alignment horizontal="center" vertical="center"/>
    </xf>
    <xf numFmtId="0" fontId="20" fillId="0" borderId="1" xfId="0" applyFont="1" applyBorder="1" applyAlignment="1">
      <alignment horizontal="center" vertical="center"/>
    </xf>
    <xf numFmtId="0" fontId="20" fillId="0" borderId="2" xfId="0" applyFont="1" applyFill="1" applyBorder="1" applyAlignment="1">
      <alignment horizontal="center" vertical="center" wrapText="1"/>
    </xf>
    <xf numFmtId="0" fontId="3" fillId="0" borderId="0" xfId="27" applyFont="1" applyAlignment="1">
      <alignment vertical="center"/>
    </xf>
    <xf numFmtId="0" fontId="3" fillId="0" borderId="0" xfId="27" applyFont="1" applyBorder="1"/>
    <xf numFmtId="0" fontId="3" fillId="0" borderId="0" xfId="27" applyFont="1" applyBorder="1" applyAlignment="1">
      <alignment horizontal="center" vertical="center"/>
    </xf>
    <xf numFmtId="0" fontId="3" fillId="0" borderId="6" xfId="27" applyFont="1" applyBorder="1" applyAlignment="1">
      <alignment vertical="center"/>
    </xf>
    <xf numFmtId="0" fontId="3" fillId="0" borderId="6" xfId="27" applyFont="1" applyBorder="1" applyAlignment="1">
      <alignment horizontal="center" vertical="center"/>
    </xf>
    <xf numFmtId="177" fontId="3" fillId="0" borderId="6" xfId="27" applyNumberFormat="1" applyFont="1" applyBorder="1" applyAlignment="1">
      <alignment horizontal="center" vertical="center"/>
    </xf>
    <xf numFmtId="177" fontId="3" fillId="0" borderId="0" xfId="27" applyNumberFormat="1" applyFont="1" applyBorder="1" applyAlignment="1">
      <alignment horizontal="center" vertical="center"/>
    </xf>
    <xf numFmtId="0" fontId="3" fillId="0" borderId="6" xfId="27" applyFont="1" applyBorder="1"/>
    <xf numFmtId="0" fontId="3" fillId="0" borderId="0" xfId="27" applyFont="1" applyBorder="1" applyAlignment="1">
      <alignment vertical="center"/>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center"/>
    </xf>
    <xf numFmtId="177" fontId="3" fillId="0" borderId="6" xfId="27" applyNumberFormat="1" applyFont="1" applyBorder="1" applyAlignment="1">
      <alignment horizontal="left"/>
    </xf>
    <xf numFmtId="177" fontId="3" fillId="0" borderId="6" xfId="27" applyNumberFormat="1" applyFont="1" applyBorder="1" applyAlignment="1">
      <alignment horizontal="center"/>
    </xf>
    <xf numFmtId="177" fontId="3" fillId="0" borderId="6" xfId="27" applyNumberFormat="1" applyFont="1" applyFill="1" applyBorder="1" applyAlignment="1">
      <alignment horizontal="left"/>
    </xf>
    <xf numFmtId="177" fontId="3" fillId="0" borderId="6" xfId="27" applyNumberFormat="1" applyFont="1" applyFill="1" applyBorder="1" applyAlignment="1">
      <alignment horizontal="center"/>
    </xf>
    <xf numFmtId="177" fontId="3" fillId="0" borderId="0" xfId="27" applyNumberFormat="1" applyFont="1" applyBorder="1" applyAlignment="1">
      <alignment horizontal="left" vertical="center"/>
    </xf>
    <xf numFmtId="177" fontId="3" fillId="0" borderId="6" xfId="0" applyNumberFormat="1" applyFont="1" applyFill="1" applyBorder="1" applyAlignment="1">
      <alignment horizontal="center" vertical="center" wrapText="1"/>
    </xf>
    <xf numFmtId="0" fontId="3" fillId="0" borderId="0" xfId="27" applyFont="1" applyFill="1" applyBorder="1" applyAlignment="1">
      <alignment horizontal="center" vertical="center"/>
    </xf>
    <xf numFmtId="0" fontId="3" fillId="0" borderId="0" xfId="27" applyFont="1" applyFill="1"/>
    <xf numFmtId="178" fontId="3" fillId="0" borderId="1" xfId="27" applyNumberFormat="1" applyFont="1" applyFill="1" applyBorder="1" applyAlignment="1">
      <alignment horizontal="center" vertical="center" wrapText="1"/>
    </xf>
    <xf numFmtId="176" fontId="3" fillId="0" borderId="1" xfId="27" applyNumberFormat="1" applyFont="1" applyFill="1" applyBorder="1" applyAlignment="1">
      <alignment horizontal="center" vertical="center" wrapText="1"/>
    </xf>
    <xf numFmtId="181" fontId="3" fillId="0" borderId="1" xfId="27" applyNumberFormat="1" applyFont="1" applyFill="1" applyBorder="1" applyAlignment="1">
      <alignment horizontal="center" vertical="center" wrapText="1"/>
    </xf>
    <xf numFmtId="0" fontId="3" fillId="0" borderId="0" xfId="27" applyFont="1" applyFill="1" applyBorder="1" applyAlignment="1">
      <alignment horizontal="center" vertical="center" wrapText="1"/>
    </xf>
    <xf numFmtId="0" fontId="97" fillId="2" borderId="0" xfId="27" applyFont="1" applyFill="1" applyBorder="1" applyAlignment="1">
      <alignment horizontal="center" vertical="center"/>
    </xf>
    <xf numFmtId="0" fontId="99" fillId="0" borderId="1" xfId="27" applyFont="1" applyBorder="1" applyAlignment="1">
      <alignment horizontal="center" vertical="center"/>
    </xf>
    <xf numFmtId="0" fontId="99" fillId="0" borderId="1" xfId="27" applyFont="1" applyFill="1" applyBorder="1" applyAlignment="1">
      <alignment horizontal="center" vertical="center"/>
    </xf>
    <xf numFmtId="0" fontId="99" fillId="0" borderId="0" xfId="27" applyFont="1" applyBorder="1"/>
    <xf numFmtId="0" fontId="99" fillId="0" borderId="0" xfId="27" applyFont="1"/>
    <xf numFmtId="0" fontId="99" fillId="0" borderId="0" xfId="27" applyFont="1" applyAlignment="1">
      <alignment wrapText="1"/>
    </xf>
    <xf numFmtId="0" fontId="99" fillId="0" borderId="0" xfId="27" applyFont="1" applyAlignment="1">
      <alignment horizontal="center" vertical="center"/>
    </xf>
    <xf numFmtId="0" fontId="99" fillId="0" borderId="0" xfId="27" applyFont="1" applyAlignment="1">
      <alignment horizontal="center" vertical="center" wrapText="1"/>
    </xf>
    <xf numFmtId="0" fontId="101" fillId="0" borderId="0" xfId="0" applyFont="1" applyAlignment="1">
      <alignment horizontal="center" vertical="center" wrapText="1"/>
    </xf>
    <xf numFmtId="0" fontId="99" fillId="0" borderId="0" xfId="27" applyFont="1" applyAlignment="1">
      <alignment horizontal="center"/>
    </xf>
    <xf numFmtId="0" fontId="102" fillId="0" borderId="0" xfId="27" applyFont="1" applyAlignment="1">
      <alignment horizontal="center" vertical="center"/>
    </xf>
    <xf numFmtId="0" fontId="99" fillId="0" borderId="0" xfId="27" applyFont="1" applyAlignment="1">
      <alignment horizontal="left" vertical="center"/>
    </xf>
    <xf numFmtId="0" fontId="99" fillId="11" borderId="0" xfId="27" applyFont="1" applyFill="1" applyAlignment="1">
      <alignment horizontal="center" vertical="center"/>
    </xf>
    <xf numFmtId="0" fontId="99" fillId="11" borderId="0" xfId="27" applyFont="1" applyFill="1" applyAlignment="1">
      <alignment horizontal="center" vertical="center" wrapText="1"/>
    </xf>
    <xf numFmtId="0" fontId="99" fillId="11" borderId="0" xfId="27" applyFont="1" applyFill="1"/>
    <xf numFmtId="0" fontId="99" fillId="11" borderId="0" xfId="27" applyFont="1" applyFill="1" applyAlignment="1">
      <alignment wrapText="1"/>
    </xf>
    <xf numFmtId="0" fontId="103" fillId="0" borderId="0" xfId="27" applyFont="1" applyAlignment="1">
      <alignment horizontal="center" vertical="center"/>
    </xf>
    <xf numFmtId="0" fontId="104" fillId="0" borderId="0" xfId="27" applyFont="1" applyAlignment="1">
      <alignment horizontal="center" vertical="center"/>
    </xf>
    <xf numFmtId="0" fontId="104" fillId="2" borderId="1" xfId="27" applyFont="1" applyFill="1" applyBorder="1" applyAlignment="1">
      <alignment horizontal="center" vertical="center"/>
    </xf>
    <xf numFmtId="178" fontId="99" fillId="0" borderId="1" xfId="27" applyNumberFormat="1" applyFont="1" applyBorder="1" applyAlignment="1">
      <alignment horizontal="center" vertical="center"/>
    </xf>
    <xf numFmtId="181" fontId="99" fillId="0" borderId="1" xfId="27" applyNumberFormat="1" applyFont="1" applyBorder="1" applyAlignment="1">
      <alignment horizontal="center" vertical="center"/>
    </xf>
    <xf numFmtId="0" fontId="104" fillId="0" borderId="1" xfId="27" applyFont="1" applyBorder="1" applyAlignment="1">
      <alignment horizontal="center" vertical="center"/>
    </xf>
    <xf numFmtId="0" fontId="99" fillId="0" borderId="0" xfId="27" applyFont="1" applyBorder="1" applyAlignment="1">
      <alignment horizontal="center"/>
    </xf>
    <xf numFmtId="58" fontId="99" fillId="0" borderId="0" xfId="27" applyNumberFormat="1" applyFont="1" applyBorder="1"/>
    <xf numFmtId="0" fontId="73" fillId="0" borderId="0" xfId="27" applyFont="1"/>
    <xf numFmtId="0" fontId="99" fillId="0" borderId="0" xfId="27" applyFont="1" applyBorder="1" applyAlignment="1">
      <alignment horizontal="left" vertical="center"/>
    </xf>
    <xf numFmtId="0" fontId="3" fillId="0" borderId="0" xfId="27" applyFont="1" applyFill="1" applyBorder="1" applyAlignment="1">
      <alignment horizontal="center" vertical="center" wrapText="1"/>
    </xf>
    <xf numFmtId="179" fontId="99" fillId="0" borderId="1" xfId="27" applyNumberFormat="1" applyFont="1" applyFill="1" applyBorder="1" applyAlignment="1">
      <alignment horizontal="center" vertical="center"/>
    </xf>
    <xf numFmtId="0" fontId="99" fillId="0" borderId="19" xfId="27" applyFont="1" applyBorder="1" applyAlignment="1">
      <alignment horizontal="center" vertical="center"/>
    </xf>
    <xf numFmtId="0" fontId="99" fillId="0" borderId="0" xfId="27" applyNumberFormat="1" applyFont="1" applyBorder="1" applyAlignment="1">
      <alignment horizontal="left" vertical="center"/>
    </xf>
    <xf numFmtId="0" fontId="99" fillId="0" borderId="0" xfId="27" applyNumberFormat="1" applyFont="1" applyBorder="1" applyAlignment="1">
      <alignment horizontal="left"/>
    </xf>
    <xf numFmtId="0" fontId="99" fillId="0" borderId="0" xfId="27" applyFont="1" applyBorder="1" applyAlignment="1">
      <alignment horizontal="left"/>
    </xf>
    <xf numFmtId="0" fontId="99" fillId="0" borderId="0" xfId="27" applyFont="1" applyAlignment="1">
      <alignment horizontal="left"/>
    </xf>
    <xf numFmtId="0" fontId="73" fillId="0" borderId="0" xfId="27" applyFont="1" applyBorder="1" applyAlignment="1">
      <alignment horizontal="left" vertical="center"/>
    </xf>
    <xf numFmtId="0" fontId="99" fillId="0" borderId="3" xfId="27" applyFont="1" applyFill="1" applyBorder="1" applyAlignment="1">
      <alignment horizontal="center" vertical="center"/>
    </xf>
    <xf numFmtId="179" fontId="99" fillId="0" borderId="16" xfId="27" applyNumberFormat="1" applyFont="1" applyFill="1" applyBorder="1" applyAlignment="1">
      <alignment horizontal="center" vertical="center"/>
    </xf>
    <xf numFmtId="0" fontId="99" fillId="0" borderId="16" xfId="27" applyFont="1" applyFill="1" applyBorder="1" applyAlignment="1">
      <alignment horizontal="center"/>
    </xf>
    <xf numFmtId="0" fontId="99" fillId="0" borderId="16" xfId="27" applyFont="1" applyFill="1" applyBorder="1" applyAlignment="1">
      <alignment horizontal="center" vertical="center"/>
    </xf>
    <xf numFmtId="179" fontId="100" fillId="0" borderId="16" xfId="27" applyNumberFormat="1" applyFont="1" applyFill="1" applyBorder="1" applyAlignment="1">
      <alignment horizontal="center" vertical="center"/>
    </xf>
    <xf numFmtId="0" fontId="100" fillId="0" borderId="16" xfId="27" applyFont="1" applyFill="1" applyBorder="1" applyAlignment="1">
      <alignment horizontal="center" vertical="center"/>
    </xf>
    <xf numFmtId="0" fontId="99" fillId="0" borderId="3" xfId="27" applyFont="1" applyFill="1" applyBorder="1" applyAlignment="1">
      <alignment vertical="center"/>
    </xf>
    <xf numFmtId="0" fontId="99" fillId="0" borderId="20" xfId="27" applyFont="1" applyFill="1" applyBorder="1" applyAlignment="1">
      <alignment vertical="center"/>
    </xf>
    <xf numFmtId="0" fontId="99" fillId="0" borderId="19" xfId="27" applyFont="1" applyFill="1" applyBorder="1" applyAlignment="1">
      <alignment vertical="center"/>
    </xf>
    <xf numFmtId="0" fontId="100" fillId="0" borderId="20" xfId="27" applyFont="1" applyFill="1" applyBorder="1" applyAlignment="1">
      <alignment vertical="center"/>
    </xf>
    <xf numFmtId="0" fontId="99" fillId="0" borderId="17" xfId="27" applyFont="1" applyFill="1" applyBorder="1" applyAlignment="1">
      <alignment horizontal="center" vertical="center"/>
    </xf>
    <xf numFmtId="0" fontId="99" fillId="0" borderId="21" xfId="27" applyFont="1" applyFill="1" applyBorder="1" applyAlignment="1">
      <alignment horizontal="center" vertical="center"/>
    </xf>
    <xf numFmtId="0" fontId="3" fillId="0" borderId="0" xfId="27" applyFont="1" applyAlignment="1">
      <alignment vertical="center" wrapText="1"/>
    </xf>
    <xf numFmtId="178" fontId="3" fillId="0" borderId="0" xfId="27" applyNumberFormat="1" applyFont="1" applyFill="1" applyBorder="1" applyAlignment="1">
      <alignment horizontal="center" vertical="center" wrapText="1"/>
    </xf>
    <xf numFmtId="0" fontId="3" fillId="0" borderId="0" xfId="27" applyFont="1" applyFill="1" applyBorder="1" applyAlignment="1">
      <alignment vertical="center" wrapText="1"/>
    </xf>
    <xf numFmtId="0" fontId="42" fillId="0" borderId="0" xfId="28" applyFont="1" applyFill="1" applyBorder="1" applyAlignment="1">
      <alignment horizontal="center" vertical="center" wrapText="1"/>
    </xf>
    <xf numFmtId="181" fontId="3" fillId="0" borderId="0" xfId="27" applyNumberFormat="1" applyFont="1" applyFill="1" applyBorder="1" applyAlignment="1">
      <alignment horizontal="center" vertical="center" wrapText="1"/>
    </xf>
    <xf numFmtId="0" fontId="105" fillId="0" borderId="1" xfId="0" applyFont="1" applyFill="1" applyBorder="1" applyAlignment="1">
      <alignment horizontal="center" vertical="center"/>
    </xf>
    <xf numFmtId="0" fontId="106" fillId="0" borderId="1" xfId="0" applyFont="1" applyFill="1" applyBorder="1" applyAlignment="1">
      <alignment horizontal="center" vertical="center"/>
    </xf>
    <xf numFmtId="0" fontId="3" fillId="0" borderId="0" xfId="27" applyFont="1" applyFill="1" applyBorder="1" applyAlignment="1">
      <alignment horizontal="center" vertical="center" wrapText="1"/>
    </xf>
    <xf numFmtId="0" fontId="3" fillId="0" borderId="1" xfId="27" applyFont="1" applyFill="1" applyBorder="1" applyAlignment="1">
      <alignment horizontal="center" vertical="center" wrapText="1"/>
    </xf>
    <xf numFmtId="0" fontId="3" fillId="0" borderId="1" xfId="27" applyFont="1" applyBorder="1" applyAlignment="1">
      <alignment horizontal="center" vertical="center"/>
    </xf>
    <xf numFmtId="0" fontId="99" fillId="0" borderId="3" xfId="27" applyFont="1" applyBorder="1" applyAlignment="1">
      <alignment horizontal="center" vertical="center"/>
    </xf>
    <xf numFmtId="0" fontId="105" fillId="0" borderId="6" xfId="27" applyFont="1" applyBorder="1"/>
    <xf numFmtId="0" fontId="105" fillId="0" borderId="6" xfId="27" applyFont="1" applyBorder="1" applyAlignment="1">
      <alignment wrapText="1"/>
    </xf>
    <xf numFmtId="0" fontId="105" fillId="0" borderId="6" xfId="27" applyFont="1" applyBorder="1" applyAlignment="1">
      <alignment horizontal="center" vertical="center"/>
    </xf>
    <xf numFmtId="0" fontId="107" fillId="0" borderId="6" xfId="27" applyFont="1" applyBorder="1" applyAlignment="1">
      <alignment horizontal="left" vertical="center"/>
    </xf>
    <xf numFmtId="0" fontId="107" fillId="0" borderId="6" xfId="27" applyFont="1" applyBorder="1" applyAlignment="1">
      <alignment horizontal="left" vertical="center" wrapText="1"/>
    </xf>
    <xf numFmtId="9" fontId="107" fillId="0" borderId="6" xfId="27" applyNumberFormat="1" applyFont="1" applyBorder="1" applyAlignment="1">
      <alignment horizontal="center" vertical="center"/>
    </xf>
    <xf numFmtId="0" fontId="107" fillId="0" borderId="6" xfId="27" applyFont="1" applyBorder="1" applyAlignment="1">
      <alignment horizontal="center" vertical="center"/>
    </xf>
    <xf numFmtId="0" fontId="107" fillId="0" borderId="6" xfId="27" applyFont="1" applyBorder="1" applyAlignment="1">
      <alignment vertical="center" wrapText="1"/>
    </xf>
    <xf numFmtId="0" fontId="99" fillId="0" borderId="22" xfId="27" applyFont="1" applyFill="1" applyBorder="1" applyAlignment="1">
      <alignment horizontal="center" vertical="center"/>
    </xf>
    <xf numFmtId="0" fontId="99" fillId="0" borderId="6" xfId="0" applyNumberFormat="1" applyFont="1" applyFill="1" applyBorder="1" applyAlignment="1">
      <alignment horizontal="center"/>
    </xf>
    <xf numFmtId="0" fontId="99" fillId="0" borderId="6" xfId="0" applyFont="1" applyFill="1" applyBorder="1" applyAlignment="1">
      <alignment horizontal="center"/>
    </xf>
    <xf numFmtId="0" fontId="99" fillId="0" borderId="6" xfId="0" applyFont="1" applyFill="1" applyBorder="1" applyAlignment="1">
      <alignment vertical="center"/>
    </xf>
    <xf numFmtId="0" fontId="99" fillId="0" borderId="6" xfId="0" applyFont="1" applyFill="1" applyBorder="1" applyAlignment="1"/>
    <xf numFmtId="0" fontId="99" fillId="0" borderId="6" xfId="0" applyFont="1" applyFill="1" applyBorder="1" applyAlignment="1">
      <alignment horizontal="center" vertical="center"/>
    </xf>
    <xf numFmtId="0" fontId="99" fillId="0" borderId="6" xfId="27" applyNumberFormat="1" applyFont="1" applyBorder="1" applyAlignment="1">
      <alignment horizontal="center" vertical="center"/>
    </xf>
    <xf numFmtId="0" fontId="99" fillId="0" borderId="6" xfId="27" applyFont="1" applyBorder="1" applyAlignment="1">
      <alignment horizontal="center" vertical="center"/>
    </xf>
    <xf numFmtId="0" fontId="99" fillId="0" borderId="6" xfId="27" applyFont="1" applyBorder="1" applyAlignment="1">
      <alignment vertical="center"/>
    </xf>
    <xf numFmtId="0" fontId="99" fillId="0" borderId="6" xfId="27" applyFont="1" applyBorder="1" applyAlignment="1">
      <alignment horizontal="left" vertical="center"/>
    </xf>
    <xf numFmtId="0" fontId="99" fillId="2" borderId="6" xfId="27" applyNumberFormat="1" applyFont="1" applyFill="1" applyBorder="1" applyAlignment="1">
      <alignment horizontal="center" vertical="center"/>
    </xf>
    <xf numFmtId="0" fontId="99" fillId="11" borderId="6" xfId="27" applyNumberFormat="1" applyFont="1" applyFill="1" applyBorder="1" applyAlignment="1">
      <alignment horizontal="center" vertical="center"/>
    </xf>
    <xf numFmtId="0" fontId="99" fillId="11" borderId="6" xfId="27" applyFont="1" applyFill="1" applyBorder="1" applyAlignment="1">
      <alignment horizontal="center" vertical="center"/>
    </xf>
    <xf numFmtId="0" fontId="99" fillId="11" borderId="6" xfId="27" applyFont="1" applyFill="1" applyBorder="1" applyAlignment="1">
      <alignment vertical="center"/>
    </xf>
    <xf numFmtId="176" fontId="99" fillId="0" borderId="6" xfId="27" applyNumberFormat="1" applyFont="1" applyBorder="1" applyAlignment="1">
      <alignment horizontal="center" vertical="center"/>
    </xf>
    <xf numFmtId="176" fontId="99" fillId="0" borderId="6" xfId="27" applyNumberFormat="1" applyFont="1" applyBorder="1" applyAlignment="1">
      <alignment vertical="center"/>
    </xf>
    <xf numFmtId="0" fontId="99" fillId="0" borderId="17" xfId="27" applyFont="1" applyBorder="1"/>
    <xf numFmtId="179" fontId="99" fillId="0" borderId="17" xfId="27" applyNumberFormat="1" applyFont="1" applyFill="1" applyBorder="1" applyAlignment="1">
      <alignment horizontal="center" vertical="center"/>
    </xf>
    <xf numFmtId="179" fontId="99" fillId="0" borderId="23" xfId="27" applyNumberFormat="1" applyFont="1" applyFill="1" applyBorder="1" applyAlignment="1">
      <alignment horizontal="center" vertical="center"/>
    </xf>
    <xf numFmtId="0" fontId="99" fillId="0" borderId="36" xfId="0" applyNumberFormat="1" applyFont="1" applyFill="1" applyBorder="1" applyAlignment="1">
      <alignment horizontal="center"/>
    </xf>
    <xf numFmtId="0" fontId="73" fillId="0" borderId="36" xfId="0" applyFont="1" applyFill="1" applyBorder="1" applyAlignment="1">
      <alignment horizontal="center"/>
    </xf>
    <xf numFmtId="0" fontId="99" fillId="0" borderId="36" xfId="0" applyFont="1" applyFill="1" applyBorder="1" applyAlignment="1">
      <alignment horizontal="center"/>
    </xf>
    <xf numFmtId="0" fontId="99" fillId="0" borderId="36" xfId="0" applyFont="1" applyFill="1" applyBorder="1" applyAlignment="1">
      <alignment vertical="center"/>
    </xf>
    <xf numFmtId="0" fontId="99" fillId="0" borderId="36" xfId="0" applyFont="1" applyFill="1" applyBorder="1" applyAlignment="1"/>
    <xf numFmtId="0" fontId="100" fillId="0" borderId="1" xfId="27" applyFont="1" applyFill="1" applyBorder="1" applyAlignment="1">
      <alignment horizontal="center" vertical="center"/>
    </xf>
    <xf numFmtId="0" fontId="96" fillId="0" borderId="1" xfId="27" applyFont="1" applyFill="1" applyBorder="1" applyAlignment="1">
      <alignment horizontal="center" vertical="center" wrapText="1"/>
    </xf>
    <xf numFmtId="0" fontId="105" fillId="0" borderId="6" xfId="27" applyFont="1" applyBorder="1" applyAlignment="1">
      <alignment horizontal="center"/>
    </xf>
    <xf numFmtId="0" fontId="99" fillId="11" borderId="0" xfId="27" applyFont="1" applyFill="1" applyAlignment="1">
      <alignment horizontal="center"/>
    </xf>
    <xf numFmtId="0" fontId="3" fillId="0" borderId="1" xfId="27" applyFont="1" applyFill="1" applyBorder="1" applyAlignment="1">
      <alignment horizontal="center" vertical="center" wrapText="1"/>
    </xf>
    <xf numFmtId="0" fontId="3" fillId="0" borderId="1" xfId="27" applyFont="1" applyFill="1" applyBorder="1" applyAlignment="1">
      <alignment horizontal="center" vertical="center" wrapText="1"/>
    </xf>
    <xf numFmtId="0" fontId="107" fillId="0" borderId="6" xfId="27" applyFont="1" applyBorder="1" applyAlignment="1">
      <alignment vertical="center"/>
    </xf>
    <xf numFmtId="0" fontId="97" fillId="2" borderId="0" xfId="27" applyFont="1" applyFill="1" applyBorder="1" applyAlignment="1">
      <alignment horizontal="center" vertical="center"/>
    </xf>
    <xf numFmtId="0" fontId="3" fillId="0" borderId="0" xfId="27" applyFont="1" applyFill="1" applyBorder="1" applyAlignment="1">
      <alignment horizontal="center" vertical="center"/>
    </xf>
    <xf numFmtId="0" fontId="3" fillId="0" borderId="0" xfId="27" applyFont="1" applyFill="1" applyBorder="1" applyAlignment="1">
      <alignment horizontal="center" vertical="center" wrapText="1"/>
    </xf>
    <xf numFmtId="14" fontId="99" fillId="0" borderId="16" xfId="27" applyNumberFormat="1" applyFont="1" applyFill="1" applyBorder="1" applyAlignment="1">
      <alignment horizontal="center"/>
    </xf>
    <xf numFmtId="0" fontId="99" fillId="0" borderId="6" xfId="0" applyNumberFormat="1" applyFont="1" applyFill="1" applyBorder="1" applyAlignment="1">
      <alignment horizontal="center" wrapText="1"/>
    </xf>
    <xf numFmtId="0" fontId="3" fillId="0" borderId="0" xfId="27" applyFont="1" applyFill="1" applyBorder="1" applyAlignment="1">
      <alignment vertical="center"/>
    </xf>
    <xf numFmtId="0" fontId="97" fillId="0" borderId="0" xfId="27" applyFont="1" applyFill="1" applyBorder="1" applyAlignment="1">
      <alignment vertical="center"/>
    </xf>
    <xf numFmtId="0" fontId="97" fillId="0" borderId="0" xfId="27" applyFont="1" applyFill="1" applyBorder="1" applyAlignment="1">
      <alignment horizontal="center" vertical="center"/>
    </xf>
    <xf numFmtId="0" fontId="97" fillId="2" borderId="0" xfId="27" applyFont="1" applyFill="1" applyBorder="1" applyAlignment="1">
      <alignment vertical="center"/>
    </xf>
    <xf numFmtId="14" fontId="15" fillId="0" borderId="3" xfId="0" applyNumberFormat="1" applyFont="1" applyBorder="1" applyAlignment="1">
      <alignment horizontal="center" vertical="center"/>
    </xf>
    <xf numFmtId="0" fontId="15" fillId="0" borderId="19" xfId="0" applyFont="1" applyBorder="1" applyAlignment="1">
      <alignment horizontal="center" vertical="center"/>
    </xf>
    <xf numFmtId="0" fontId="13" fillId="0" borderId="0" xfId="0" applyFont="1" applyFill="1" applyAlignment="1">
      <alignment horizontal="center" vertical="center"/>
    </xf>
    <xf numFmtId="0" fontId="14" fillId="0" borderId="4" xfId="0" applyFont="1" applyBorder="1" applyAlignment="1">
      <alignment horizontal="right" vertical="center"/>
    </xf>
    <xf numFmtId="0" fontId="14" fillId="0" borderId="4" xfId="0" applyFont="1" applyBorder="1" applyAlignment="1">
      <alignment horizontal="center" vertical="center"/>
    </xf>
    <xf numFmtId="0" fontId="15" fillId="0" borderId="3" xfId="0" applyFont="1" applyBorder="1" applyAlignment="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14" fontId="14" fillId="0" borderId="0" xfId="0" applyNumberFormat="1" applyFont="1" applyAlignment="1">
      <alignment horizontal="left" vertical="center"/>
    </xf>
    <xf numFmtId="0" fontId="14" fillId="0" borderId="0" xfId="0" applyFont="1" applyBorder="1" applyAlignment="1">
      <alignment horizontal="right" vertical="center"/>
    </xf>
    <xf numFmtId="0" fontId="27" fillId="0" borderId="48" xfId="3" applyFont="1" applyFill="1" applyBorder="1" applyAlignment="1">
      <alignment horizontal="center" vertical="center"/>
    </xf>
    <xf numFmtId="0" fontId="27" fillId="0" borderId="35" xfId="3" applyFont="1" applyFill="1" applyBorder="1" applyAlignment="1">
      <alignment horizontal="center" vertical="center"/>
    </xf>
    <xf numFmtId="0" fontId="27" fillId="0" borderId="53" xfId="3" applyFont="1" applyFill="1" applyBorder="1" applyAlignment="1">
      <alignment horizontal="center" vertical="center"/>
    </xf>
    <xf numFmtId="0" fontId="22" fillId="0" borderId="57" xfId="2" applyFont="1" applyFill="1" applyBorder="1" applyAlignment="1">
      <alignment horizontal="center" vertical="center"/>
    </xf>
    <xf numFmtId="0" fontId="22" fillId="0" borderId="12" xfId="2" applyFont="1" applyFill="1" applyBorder="1" applyAlignment="1">
      <alignment horizontal="center" vertical="center"/>
    </xf>
    <xf numFmtId="0" fontId="22" fillId="0" borderId="58"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59" xfId="3" applyFont="1" applyFill="1" applyBorder="1" applyAlignment="1">
      <alignment horizontal="center" vertical="center" wrapText="1"/>
    </xf>
    <xf numFmtId="0" fontId="7" fillId="0" borderId="60" xfId="3" applyFont="1" applyFill="1" applyBorder="1" applyAlignment="1">
      <alignment horizontal="center" vertical="center" wrapText="1"/>
    </xf>
    <xf numFmtId="0" fontId="27" fillId="0" borderId="28" xfId="3" applyFont="1" applyFill="1" applyBorder="1" applyAlignment="1">
      <alignment horizontal="center" vertical="center"/>
    </xf>
    <xf numFmtId="0" fontId="27" fillId="0" borderId="0" xfId="3" applyFont="1" applyFill="1" applyBorder="1" applyAlignment="1">
      <alignment horizontal="center" vertical="center"/>
    </xf>
    <xf numFmtId="0" fontId="27" fillId="0" borderId="29" xfId="3" applyFont="1" applyFill="1" applyBorder="1" applyAlignment="1">
      <alignment horizontal="center" vertical="center"/>
    </xf>
    <xf numFmtId="0" fontId="22" fillId="0" borderId="52" xfId="2"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2" fillId="0" borderId="54" xfId="2" applyFont="1" applyFill="1" applyBorder="1" applyAlignment="1">
      <alignment horizontal="center" vertical="center" wrapText="1"/>
    </xf>
    <xf numFmtId="177" fontId="20" fillId="0" borderId="52" xfId="2" applyNumberFormat="1" applyFill="1" applyBorder="1" applyAlignment="1">
      <alignment horizontal="center" vertical="center" wrapText="1"/>
    </xf>
    <xf numFmtId="177" fontId="20" fillId="0" borderId="11" xfId="2" applyNumberFormat="1" applyFill="1" applyBorder="1" applyAlignment="1">
      <alignment horizontal="center" vertical="center" wrapText="1"/>
    </xf>
    <xf numFmtId="177" fontId="20" fillId="0" borderId="54" xfId="2" applyNumberFormat="1" applyFill="1" applyBorder="1" applyAlignment="1">
      <alignment horizontal="center" vertical="center" wrapText="1"/>
    </xf>
    <xf numFmtId="0" fontId="22" fillId="0" borderId="32"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30" xfId="2" applyFont="1" applyFill="1" applyBorder="1" applyAlignment="1">
      <alignment horizontal="center" vertical="center"/>
    </xf>
    <xf numFmtId="0" fontId="7" fillId="0" borderId="31"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7" fillId="0" borderId="13" xfId="3" applyFont="1" applyFill="1" applyBorder="1" applyAlignment="1">
      <alignment horizontal="center" vertical="center" wrapText="1"/>
    </xf>
    <xf numFmtId="0" fontId="0" fillId="0" borderId="35" xfId="0" applyBorder="1">
      <alignment vertical="center"/>
    </xf>
    <xf numFmtId="0" fontId="0" fillId="0" borderId="53" xfId="0" applyBorder="1">
      <alignment vertical="center"/>
    </xf>
    <xf numFmtId="0" fontId="20" fillId="0" borderId="35" xfId="2" applyFill="1" applyBorder="1" applyAlignment="1">
      <alignment horizontal="center" vertical="center"/>
    </xf>
    <xf numFmtId="0" fontId="7" fillId="0" borderId="48"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4" fillId="0" borderId="57" xfId="2" applyFont="1" applyFill="1" applyBorder="1" applyAlignment="1">
      <alignment horizontal="center" vertical="center"/>
    </xf>
    <xf numFmtId="0" fontId="24" fillId="0" borderId="12" xfId="2" applyFont="1" applyFill="1" applyBorder="1" applyAlignment="1">
      <alignment horizontal="center" vertical="center"/>
    </xf>
    <xf numFmtId="0" fontId="24" fillId="0" borderId="58" xfId="2" applyFont="1" applyFill="1" applyBorder="1" applyAlignment="1">
      <alignment horizontal="center" vertical="center"/>
    </xf>
    <xf numFmtId="0" fontId="20" fillId="0" borderId="53" xfId="2" applyFill="1" applyBorder="1" applyAlignment="1">
      <alignment horizontal="center" vertical="center"/>
    </xf>
    <xf numFmtId="0" fontId="27" fillId="0" borderId="48" xfId="3" applyFont="1" applyFill="1" applyBorder="1" applyAlignment="1">
      <alignment horizontal="center" vertical="center" wrapText="1"/>
    </xf>
    <xf numFmtId="0" fontId="27" fillId="0" borderId="35" xfId="3" applyFont="1" applyFill="1" applyBorder="1" applyAlignment="1">
      <alignment horizontal="center" vertical="center" wrapText="1"/>
    </xf>
    <xf numFmtId="0" fontId="27" fillId="0" borderId="53" xfId="3" applyFont="1" applyFill="1" applyBorder="1" applyAlignment="1">
      <alignment horizontal="center" vertical="center" wrapText="1"/>
    </xf>
    <xf numFmtId="0" fontId="27" fillId="0" borderId="57" xfId="3" applyFont="1" applyFill="1" applyBorder="1" applyAlignment="1">
      <alignment horizontal="center" vertical="center"/>
    </xf>
    <xf numFmtId="0" fontId="27" fillId="0" borderId="12" xfId="3" applyFont="1" applyFill="1" applyBorder="1" applyAlignment="1">
      <alignment horizontal="center" vertical="center"/>
    </xf>
    <xf numFmtId="0" fontId="27" fillId="0" borderId="58" xfId="3" applyFont="1" applyFill="1" applyBorder="1" applyAlignment="1">
      <alignment horizontal="center" vertical="center"/>
    </xf>
    <xf numFmtId="0" fontId="27" fillId="0" borderId="48" xfId="2" applyFont="1" applyFill="1" applyBorder="1" applyAlignment="1">
      <alignment horizontal="center" vertical="center"/>
    </xf>
    <xf numFmtId="0" fontId="27" fillId="0" borderId="35" xfId="2" applyFont="1" applyFill="1" applyBorder="1" applyAlignment="1">
      <alignment horizontal="center" vertical="center"/>
    </xf>
    <xf numFmtId="0" fontId="27" fillId="0" borderId="53" xfId="2" applyFont="1" applyFill="1" applyBorder="1" applyAlignment="1">
      <alignment horizontal="center" vertical="center"/>
    </xf>
    <xf numFmtId="0" fontId="21" fillId="0" borderId="0" xfId="2" applyFont="1" applyFill="1" applyBorder="1" applyAlignment="1">
      <alignment horizontal="center" vertical="center"/>
    </xf>
    <xf numFmtId="0" fontId="21" fillId="0" borderId="29" xfId="2" applyFont="1" applyFill="1" applyBorder="1" applyAlignment="1">
      <alignment horizontal="center" vertical="center"/>
    </xf>
    <xf numFmtId="0" fontId="20" fillId="0" borderId="48" xfId="2" applyFill="1" applyBorder="1" applyAlignment="1">
      <alignment horizontal="center" vertical="center"/>
    </xf>
    <xf numFmtId="0" fontId="24" fillId="0" borderId="32" xfId="2" applyFont="1" applyFill="1" applyBorder="1" applyAlignment="1">
      <alignment horizontal="center" vertical="center"/>
    </xf>
    <xf numFmtId="0" fontId="24" fillId="0" borderId="30" xfId="2" applyFont="1" applyFill="1" applyBorder="1" applyAlignment="1">
      <alignment horizontal="center" vertical="center"/>
    </xf>
    <xf numFmtId="0" fontId="24" fillId="0" borderId="31" xfId="2" applyFont="1" applyFill="1" applyBorder="1" applyAlignment="1">
      <alignment horizontal="center" vertical="center" wrapText="1"/>
    </xf>
    <xf numFmtId="0" fontId="24" fillId="0" borderId="13" xfId="2" applyFont="1" applyFill="1" applyBorder="1" applyAlignment="1">
      <alignment horizontal="center" vertical="center" wrapText="1"/>
    </xf>
    <xf numFmtId="0" fontId="27" fillId="0" borderId="32" xfId="3" applyFont="1" applyFill="1" applyBorder="1" applyAlignment="1">
      <alignment horizontal="center" vertical="center"/>
    </xf>
    <xf numFmtId="0" fontId="27" fillId="0" borderId="5" xfId="3" applyFont="1" applyFill="1" applyBorder="1" applyAlignment="1">
      <alignment horizontal="center" vertical="center"/>
    </xf>
    <xf numFmtId="0" fontId="27" fillId="0" borderId="30" xfId="3" applyFont="1" applyFill="1" applyBorder="1" applyAlignment="1">
      <alignment horizontal="center" vertical="center"/>
    </xf>
    <xf numFmtId="0" fontId="27" fillId="0" borderId="31" xfId="3" applyFont="1" applyFill="1" applyBorder="1" applyAlignment="1">
      <alignment horizontal="center" vertical="center" wrapText="1"/>
    </xf>
    <xf numFmtId="0" fontId="27" fillId="0" borderId="6" xfId="3" applyFont="1" applyFill="1" applyBorder="1" applyAlignment="1">
      <alignment horizontal="center" vertical="center" wrapText="1"/>
    </xf>
    <xf numFmtId="0" fontId="27" fillId="0" borderId="13" xfId="3" applyFont="1" applyFill="1" applyBorder="1" applyAlignment="1">
      <alignment horizontal="center" vertical="center" wrapText="1"/>
    </xf>
    <xf numFmtId="0" fontId="24" fillId="0" borderId="41" xfId="2" applyFont="1" applyFill="1" applyBorder="1" applyAlignment="1">
      <alignment horizontal="center" vertical="center" wrapText="1"/>
    </xf>
    <xf numFmtId="0" fontId="24" fillId="0" borderId="46" xfId="2" applyFont="1" applyFill="1" applyBorder="1" applyAlignment="1">
      <alignment horizontal="center" vertical="center" wrapText="1"/>
    </xf>
    <xf numFmtId="0" fontId="24" fillId="0" borderId="42" xfId="2" applyFont="1" applyFill="1" applyBorder="1" applyAlignment="1">
      <alignment horizontal="center" vertical="center" wrapText="1"/>
    </xf>
    <xf numFmtId="0" fontId="24" fillId="0" borderId="47" xfId="2" applyFont="1" applyFill="1" applyBorder="1" applyAlignment="1">
      <alignment horizontal="center" vertical="center" wrapText="1"/>
    </xf>
    <xf numFmtId="0" fontId="22" fillId="0" borderId="0" xfId="2" applyFont="1" applyFill="1" applyAlignment="1">
      <alignment horizontal="center" vertical="center" wrapText="1"/>
    </xf>
    <xf numFmtId="0" fontId="22" fillId="0" borderId="10" xfId="2" applyFont="1" applyFill="1" applyBorder="1" applyAlignment="1">
      <alignment horizontal="center" vertical="center" wrapText="1"/>
    </xf>
    <xf numFmtId="0" fontId="24" fillId="0" borderId="38" xfId="2" applyFont="1" applyFill="1" applyBorder="1" applyAlignment="1">
      <alignment horizontal="center" vertical="center" wrapText="1"/>
    </xf>
    <xf numFmtId="0" fontId="24" fillId="0" borderId="39"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4" fillId="0" borderId="40" xfId="2" applyFont="1" applyFill="1" applyBorder="1" applyAlignment="1">
      <alignment horizontal="center" vertical="center" wrapText="1"/>
    </xf>
    <xf numFmtId="0" fontId="24" fillId="0" borderId="45" xfId="2" applyFont="1" applyFill="1" applyBorder="1" applyAlignment="1">
      <alignment horizontal="center" vertical="center" wrapText="1"/>
    </xf>
    <xf numFmtId="0" fontId="24" fillId="0" borderId="31" xfId="2" applyFont="1" applyFill="1" applyBorder="1" applyAlignment="1">
      <alignment horizontal="center" vertical="center"/>
    </xf>
    <xf numFmtId="177" fontId="24" fillId="0" borderId="31" xfId="2" applyNumberFormat="1" applyFont="1" applyFill="1" applyBorder="1" applyAlignment="1">
      <alignment horizontal="center" vertical="center" wrapText="1"/>
    </xf>
    <xf numFmtId="177" fontId="24" fillId="0" borderId="13" xfId="2" applyNumberFormat="1" applyFont="1" applyFill="1" applyBorder="1" applyAlignment="1">
      <alignment horizontal="center" vertical="center" wrapText="1"/>
    </xf>
    <xf numFmtId="0" fontId="24" fillId="0" borderId="33" xfId="2" applyFont="1" applyFill="1" applyBorder="1" applyAlignment="1">
      <alignment horizontal="center" vertical="center"/>
    </xf>
    <xf numFmtId="0" fontId="22" fillId="0" borderId="48" xfId="0" applyFont="1" applyBorder="1" applyAlignment="1">
      <alignment horizontal="center" vertical="center"/>
    </xf>
    <xf numFmtId="0" fontId="22" fillId="0" borderId="35" xfId="0" applyFont="1" applyBorder="1" applyAlignment="1">
      <alignment horizontal="center" vertical="center"/>
    </xf>
    <xf numFmtId="0" fontId="98" fillId="0" borderId="4" xfId="27" applyFont="1" applyFill="1" applyBorder="1" applyAlignment="1">
      <alignment horizontal="center" vertical="center"/>
    </xf>
    <xf numFmtId="0" fontId="98" fillId="0" borderId="26" xfId="27" applyFont="1" applyFill="1" applyBorder="1" applyAlignment="1">
      <alignment horizontal="center" vertical="center"/>
    </xf>
    <xf numFmtId="179" fontId="99" fillId="0" borderId="0" xfId="27" applyNumberFormat="1" applyFont="1" applyBorder="1" applyAlignment="1">
      <alignment horizontal="center"/>
    </xf>
    <xf numFmtId="0" fontId="3" fillId="0" borderId="1" xfId="27" applyFont="1" applyFill="1" applyBorder="1" applyAlignment="1">
      <alignment horizontal="center" vertical="center" wrapText="1"/>
    </xf>
    <xf numFmtId="0" fontId="3" fillId="0" borderId="1" xfId="27" applyFont="1" applyBorder="1" applyAlignment="1">
      <alignment horizontal="center" vertical="center" wrapText="1"/>
    </xf>
    <xf numFmtId="177" fontId="3" fillId="0" borderId="6" xfId="0" applyNumberFormat="1" applyFont="1" applyFill="1" applyBorder="1" applyAlignment="1">
      <alignment horizontal="center" vertical="center" wrapText="1"/>
    </xf>
    <xf numFmtId="0" fontId="3" fillId="0" borderId="0" xfId="27" applyFont="1" applyBorder="1" applyAlignment="1">
      <alignment horizontal="center"/>
    </xf>
    <xf numFmtId="0" fontId="105" fillId="0" borderId="19" xfId="0" applyFont="1" applyFill="1" applyBorder="1" applyAlignment="1">
      <alignment horizontal="center" vertical="center"/>
    </xf>
    <xf numFmtId="0" fontId="105" fillId="0" borderId="1" xfId="0" applyFont="1" applyFill="1" applyBorder="1" applyAlignment="1">
      <alignment horizontal="center" vertical="center"/>
    </xf>
    <xf numFmtId="0" fontId="3" fillId="0" borderId="8" xfId="0" quotePrefix="1" applyFont="1" applyFill="1" applyBorder="1" applyAlignment="1">
      <alignment horizontal="center" vertical="center" wrapText="1"/>
    </xf>
    <xf numFmtId="0" fontId="3" fillId="0" borderId="9" xfId="0" quotePrefix="1"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Border="1" applyAlignment="1"/>
    <xf numFmtId="0" fontId="106" fillId="0" borderId="19" xfId="0" applyFont="1" applyFill="1" applyBorder="1" applyAlignment="1">
      <alignment horizontal="center" vertical="center"/>
    </xf>
    <xf numFmtId="0" fontId="106" fillId="0" borderId="1"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98" xfId="0" applyFont="1" applyFill="1" applyBorder="1" applyAlignment="1">
      <alignment horizontal="center" vertical="center" wrapText="1"/>
    </xf>
    <xf numFmtId="0" fontId="3" fillId="0" borderId="9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59"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68" xfId="0" applyFont="1" applyFill="1" applyBorder="1" applyAlignment="1">
      <alignment horizontal="center" vertical="center" wrapText="1"/>
    </xf>
    <xf numFmtId="0" fontId="3" fillId="0" borderId="70" xfId="0" applyFont="1" applyFill="1" applyBorder="1" applyAlignment="1">
      <alignment horizontal="center" vertical="center" wrapText="1"/>
    </xf>
    <xf numFmtId="0" fontId="3" fillId="0" borderId="69"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27" applyFont="1" applyFill="1" applyBorder="1" applyAlignment="1">
      <alignment horizontal="center" vertical="center"/>
    </xf>
    <xf numFmtId="0" fontId="3" fillId="2" borderId="20" xfId="27" applyFont="1" applyFill="1" applyBorder="1" applyAlignment="1">
      <alignment horizontal="center" vertical="center" wrapText="1"/>
    </xf>
    <xf numFmtId="0" fontId="3" fillId="2" borderId="19" xfId="27" applyFont="1" applyFill="1" applyBorder="1" applyAlignment="1">
      <alignment horizontal="center" vertical="center" wrapText="1"/>
    </xf>
    <xf numFmtId="0" fontId="3" fillId="0" borderId="20" xfId="27" applyFont="1" applyFill="1" applyBorder="1" applyAlignment="1">
      <alignment horizontal="center" vertical="center" wrapText="1"/>
    </xf>
    <xf numFmtId="0" fontId="3" fillId="0" borderId="19" xfId="27" applyFont="1" applyFill="1" applyBorder="1" applyAlignment="1">
      <alignment horizontal="center" vertical="center" wrapText="1"/>
    </xf>
    <xf numFmtId="0" fontId="42" fillId="0" borderId="0" xfId="28" applyFont="1" applyFill="1" applyBorder="1" applyAlignment="1">
      <alignment horizontal="center" vertical="center" wrapText="1"/>
    </xf>
    <xf numFmtId="0" fontId="3" fillId="0" borderId="0" xfId="27" applyFont="1" applyFill="1" applyBorder="1" applyAlignment="1">
      <alignment horizontal="center" vertical="center" wrapText="1"/>
    </xf>
    <xf numFmtId="0" fontId="3" fillId="0" borderId="15" xfId="27"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21" xfId="0" applyFont="1" applyBorder="1" applyAlignment="1">
      <alignment horizontal="center" vertical="center" wrapText="1"/>
    </xf>
    <xf numFmtId="0" fontId="92" fillId="0" borderId="1" xfId="0" applyFont="1" applyBorder="1" applyAlignment="1">
      <alignment horizontal="center" vertical="center"/>
    </xf>
    <xf numFmtId="180" fontId="22"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31" fillId="0" borderId="4" xfId="4" applyFont="1" applyFill="1" applyBorder="1" applyAlignment="1">
      <alignment horizontal="center" vertical="center"/>
    </xf>
    <xf numFmtId="0" fontId="90" fillId="2" borderId="1" xfId="5" applyFont="1" applyFill="1" applyBorder="1" applyAlignment="1">
      <alignment horizontal="center" vertical="center"/>
    </xf>
    <xf numFmtId="0" fontId="33" fillId="0" borderId="1" xfId="5" applyFont="1" applyBorder="1" applyAlignment="1">
      <alignment horizontal="center" vertical="center"/>
    </xf>
    <xf numFmtId="14" fontId="33" fillId="0" borderId="1" xfId="5" applyNumberFormat="1"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3" xfId="4" applyFont="1" applyBorder="1" applyAlignment="1">
      <alignment horizontal="center"/>
    </xf>
    <xf numFmtId="0" fontId="33" fillId="0" borderId="19" xfId="4" applyFont="1" applyBorder="1" applyAlignment="1">
      <alignment horizontal="center"/>
    </xf>
    <xf numFmtId="0" fontId="33" fillId="0" borderId="1" xfId="32" applyFont="1" applyBorder="1" applyAlignment="1">
      <alignment horizontal="center" vertical="center"/>
    </xf>
    <xf numFmtId="0" fontId="53" fillId="0" borderId="0" xfId="31" applyFont="1" applyAlignment="1">
      <alignment horizontal="right"/>
    </xf>
    <xf numFmtId="0" fontId="8" fillId="0" borderId="0" xfId="31" applyFont="1" applyAlignment="1">
      <alignment horizontal="center"/>
    </xf>
    <xf numFmtId="0" fontId="2" fillId="0" borderId="0" xfId="31" applyFont="1" applyBorder="1" applyAlignment="1">
      <alignment horizontal="center"/>
    </xf>
    <xf numFmtId="0" fontId="2" fillId="0" borderId="4" xfId="31" applyFont="1" applyBorder="1" applyAlignment="1">
      <alignment horizontal="center"/>
    </xf>
    <xf numFmtId="0" fontId="2" fillId="0" borderId="0" xfId="31" applyFont="1" applyAlignment="1">
      <alignment horizontal="center"/>
    </xf>
    <xf numFmtId="0" fontId="2" fillId="0" borderId="8" xfId="31" applyFont="1" applyBorder="1" applyAlignment="1">
      <alignment horizontal="center" vertical="center"/>
    </xf>
    <xf numFmtId="0" fontId="2" fillId="0" borderId="9" xfId="31" applyFont="1" applyBorder="1" applyAlignment="1">
      <alignment horizontal="center" vertical="center"/>
    </xf>
    <xf numFmtId="0" fontId="18" fillId="0" borderId="8" xfId="31" applyFont="1" applyBorder="1" applyAlignment="1">
      <alignment horizontal="center" vertical="center"/>
    </xf>
    <xf numFmtId="0" fontId="18" fillId="0" borderId="72" xfId="31" applyFont="1" applyBorder="1" applyAlignment="1">
      <alignment horizontal="center" vertical="center"/>
    </xf>
    <xf numFmtId="0" fontId="4" fillId="0" borderId="20" xfId="31" applyFont="1" applyBorder="1" applyAlignment="1">
      <alignment horizontal="center"/>
    </xf>
    <xf numFmtId="14" fontId="2" fillId="0" borderId="20" xfId="31" applyNumberFormat="1" applyFont="1" applyBorder="1" applyAlignment="1">
      <alignment horizontal="center"/>
    </xf>
    <xf numFmtId="0" fontId="2" fillId="0" borderId="20" xfId="31" applyFont="1" applyBorder="1" applyAlignment="1">
      <alignment horizontal="center"/>
    </xf>
    <xf numFmtId="0" fontId="55" fillId="0" borderId="4" xfId="31" applyFont="1" applyBorder="1" applyAlignment="1">
      <alignment horizontal="center"/>
    </xf>
    <xf numFmtId="0" fontId="0" fillId="0" borderId="31" xfId="31" applyFont="1" applyBorder="1" applyAlignment="1">
      <alignment horizontal="center" vertical="center"/>
    </xf>
    <xf numFmtId="0" fontId="2" fillId="0" borderId="31" xfId="31" applyFont="1" applyBorder="1" applyAlignment="1">
      <alignment horizontal="center" vertical="center"/>
    </xf>
    <xf numFmtId="0" fontId="54" fillId="0" borderId="76" xfId="31" applyFont="1" applyBorder="1" applyAlignment="1">
      <alignment horizontal="center" vertical="center"/>
    </xf>
    <xf numFmtId="0" fontId="54" fillId="0" borderId="77" xfId="31" applyFont="1" applyBorder="1" applyAlignment="1">
      <alignment horizontal="center" vertical="center"/>
    </xf>
    <xf numFmtId="0" fontId="54" fillId="0" borderId="79" xfId="31" applyFont="1" applyBorder="1" applyAlignment="1">
      <alignment horizontal="center" vertical="center"/>
    </xf>
    <xf numFmtId="0" fontId="2" fillId="0" borderId="72" xfId="31" applyFont="1" applyBorder="1" applyAlignment="1">
      <alignment horizontal="center" vertical="center"/>
    </xf>
    <xf numFmtId="179" fontId="3" fillId="0" borderId="0" xfId="31" applyNumberFormat="1" applyFont="1" applyBorder="1" applyAlignment="1">
      <alignment horizontal="center"/>
    </xf>
    <xf numFmtId="0" fontId="2" fillId="0" borderId="71" xfId="31" applyFont="1" applyBorder="1" applyAlignment="1">
      <alignment horizontal="center" vertical="center"/>
    </xf>
    <xf numFmtId="0" fontId="2" fillId="0" borderId="75" xfId="31" applyFont="1" applyBorder="1" applyAlignment="1">
      <alignment horizontal="center" vertical="center"/>
    </xf>
    <xf numFmtId="0" fontId="2" fillId="0" borderId="74" xfId="31" applyFont="1" applyBorder="1" applyAlignment="1">
      <alignment horizontal="center" vertical="center"/>
    </xf>
    <xf numFmtId="0" fontId="43" fillId="0" borderId="0" xfId="31" applyFont="1" applyBorder="1" applyAlignment="1">
      <alignment horizontal="center"/>
    </xf>
    <xf numFmtId="0" fontId="6" fillId="0" borderId="0" xfId="31" applyFont="1" applyBorder="1" applyAlignment="1">
      <alignment horizontal="center"/>
    </xf>
    <xf numFmtId="0" fontId="2" fillId="8" borderId="0" xfId="31" applyFont="1" applyFill="1" applyBorder="1" applyAlignment="1">
      <alignment horizontal="center"/>
    </xf>
    <xf numFmtId="0" fontId="6" fillId="0" borderId="0" xfId="29" applyFont="1" applyAlignment="1">
      <alignment horizontal="center" vertical="center"/>
    </xf>
    <xf numFmtId="0" fontId="2" fillId="0" borderId="6" xfId="29" applyFont="1" applyFill="1" applyBorder="1" applyAlignment="1">
      <alignment horizontal="center" vertical="center"/>
    </xf>
    <xf numFmtId="179" fontId="3" fillId="0" borderId="6" xfId="29" applyNumberFormat="1" applyFont="1" applyFill="1" applyBorder="1" applyAlignment="1">
      <alignment horizontal="left" vertical="center"/>
    </xf>
    <xf numFmtId="0" fontId="7" fillId="0" borderId="6" xfId="29" applyFont="1" applyFill="1" applyBorder="1" applyAlignment="1">
      <alignment horizontal="center" vertical="center"/>
    </xf>
    <xf numFmtId="0" fontId="2" fillId="0" borderId="0" xfId="29" applyFont="1" applyBorder="1" applyAlignment="1">
      <alignment horizontal="center"/>
    </xf>
    <xf numFmtId="0" fontId="2" fillId="0" borderId="0" xfId="29" applyFont="1" applyAlignment="1">
      <alignment horizontal="center"/>
    </xf>
    <xf numFmtId="0" fontId="4" fillId="0" borderId="0" xfId="29" applyFont="1" applyBorder="1" applyAlignment="1">
      <alignment horizontal="center"/>
    </xf>
    <xf numFmtId="14" fontId="2" fillId="0" borderId="6" xfId="29" applyNumberFormat="1"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6" xfId="29" applyFont="1" applyFill="1" applyBorder="1" applyAlignment="1">
      <alignment horizontal="center" vertical="center" wrapText="1"/>
    </xf>
    <xf numFmtId="178" fontId="2" fillId="0" borderId="6" xfId="29" applyNumberFormat="1" applyFont="1" applyFill="1" applyBorder="1" applyAlignment="1">
      <alignment horizontal="center" vertical="center"/>
    </xf>
    <xf numFmtId="0" fontId="54" fillId="0" borderId="6" xfId="29" applyFont="1" applyFill="1" applyBorder="1" applyAlignment="1">
      <alignment horizontal="center" vertical="center"/>
    </xf>
    <xf numFmtId="0" fontId="2" fillId="0" borderId="34" xfId="29" applyFont="1" applyFill="1" applyBorder="1" applyAlignment="1">
      <alignment horizontal="center" vertical="center" wrapText="1"/>
    </xf>
    <xf numFmtId="0" fontId="2" fillId="0" borderId="35" xfId="29" applyFont="1" applyFill="1" applyBorder="1" applyAlignment="1">
      <alignment horizontal="center" vertical="center" wrapText="1"/>
    </xf>
    <xf numFmtId="0" fontId="2" fillId="0" borderId="36" xfId="29" applyFont="1" applyFill="1" applyBorder="1" applyAlignment="1">
      <alignment horizontal="center" vertical="center" wrapText="1"/>
    </xf>
    <xf numFmtId="0" fontId="54" fillId="0" borderId="6" xfId="29" applyFont="1" applyFill="1" applyBorder="1" applyAlignment="1">
      <alignment horizontal="center" vertical="center" wrapText="1"/>
    </xf>
    <xf numFmtId="0" fontId="2" fillId="0" borderId="8" xfId="29" applyFont="1" applyFill="1" applyBorder="1" applyAlignment="1">
      <alignment horizontal="center" vertical="center"/>
    </xf>
    <xf numFmtId="0" fontId="2" fillId="0" borderId="18" xfId="29" applyFont="1" applyFill="1" applyBorder="1" applyAlignment="1">
      <alignment horizontal="center" vertical="center"/>
    </xf>
    <xf numFmtId="0" fontId="2" fillId="0" borderId="9" xfId="29" applyFont="1" applyFill="1" applyBorder="1" applyAlignment="1">
      <alignment horizontal="center" vertical="center"/>
    </xf>
    <xf numFmtId="0" fontId="2" fillId="0" borderId="0" xfId="29" applyFont="1" applyFill="1" applyAlignment="1">
      <alignment horizontal="center" vertical="center"/>
    </xf>
    <xf numFmtId="179" fontId="2" fillId="0" borderId="4" xfId="29" applyNumberFormat="1" applyFont="1" applyFill="1" applyBorder="1" applyAlignment="1">
      <alignment horizontal="center" vertical="center"/>
    </xf>
    <xf numFmtId="0" fontId="2" fillId="0" borderId="0" xfId="29" applyFont="1" applyFill="1" applyAlignment="1">
      <alignment horizontal="right" vertical="center"/>
    </xf>
    <xf numFmtId="0" fontId="2" fillId="0" borderId="4" xfId="29" applyFont="1" applyFill="1" applyBorder="1" applyAlignment="1">
      <alignment horizontal="center" vertical="center"/>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31" fillId="0" borderId="0" xfId="35" applyFont="1" applyAlignment="1">
      <alignment horizontal="center"/>
    </xf>
    <xf numFmtId="0" fontId="77" fillId="0" borderId="0" xfId="35" applyFont="1" applyAlignment="1">
      <alignment horizontal="center"/>
    </xf>
    <xf numFmtId="14" fontId="78" fillId="0" borderId="1" xfId="34" applyNumberFormat="1" applyFont="1" applyBorder="1" applyAlignment="1">
      <alignment horizontal="center" vertical="center"/>
    </xf>
    <xf numFmtId="0" fontId="58" fillId="0" borderId="0" xfId="33" applyFont="1" applyBorder="1" applyAlignment="1">
      <alignment horizontal="center"/>
    </xf>
    <xf numFmtId="0" fontId="68" fillId="0" borderId="0" xfId="33" applyFont="1" applyBorder="1" applyAlignment="1">
      <alignment horizontal="center"/>
    </xf>
    <xf numFmtId="0" fontId="69" fillId="0" borderId="0" xfId="33" applyFont="1" applyBorder="1" applyAlignment="1">
      <alignment horizontal="center"/>
    </xf>
    <xf numFmtId="179" fontId="59" fillId="0" borderId="0" xfId="33" applyNumberFormat="1" applyFont="1" applyBorder="1" applyAlignment="1">
      <alignment horizontal="center"/>
    </xf>
    <xf numFmtId="0" fontId="63" fillId="0" borderId="8" xfId="33" applyFont="1" applyBorder="1" applyAlignment="1">
      <alignment horizontal="center" vertical="center"/>
    </xf>
    <xf numFmtId="0" fontId="63" fillId="0" borderId="9" xfId="33" applyFont="1" applyBorder="1" applyAlignment="1">
      <alignment horizontal="center" vertical="center"/>
    </xf>
    <xf numFmtId="0" fontId="58" fillId="0" borderId="8" xfId="33" applyFont="1" applyBorder="1" applyAlignment="1">
      <alignment horizontal="center" vertical="center"/>
    </xf>
    <xf numFmtId="0" fontId="58" fillId="0" borderId="72" xfId="33" applyFont="1" applyBorder="1" applyAlignment="1">
      <alignment horizontal="center" vertical="center"/>
    </xf>
    <xf numFmtId="0" fontId="63" fillId="0" borderId="72" xfId="33" applyFont="1" applyBorder="1" applyAlignment="1">
      <alignment horizontal="center" vertical="center"/>
    </xf>
    <xf numFmtId="0" fontId="63" fillId="0" borderId="71" xfId="33" applyFont="1" applyBorder="1" applyAlignment="1">
      <alignment horizontal="right" vertical="center"/>
    </xf>
    <xf numFmtId="0" fontId="63" fillId="0" borderId="73" xfId="33" applyFont="1" applyBorder="1" applyAlignment="1">
      <alignment horizontal="right" vertical="center"/>
    </xf>
    <xf numFmtId="0" fontId="59" fillId="0" borderId="8" xfId="33" applyFont="1" applyBorder="1" applyAlignment="1">
      <alignment horizontal="center" vertical="center"/>
    </xf>
    <xf numFmtId="0" fontId="59" fillId="0" borderId="72" xfId="33" applyFont="1" applyBorder="1" applyAlignment="1">
      <alignment horizontal="center" vertical="center"/>
    </xf>
    <xf numFmtId="0" fontId="67" fillId="0" borderId="8" xfId="33" applyFont="1" applyBorder="1" applyAlignment="1">
      <alignment horizontal="center" vertical="center"/>
    </xf>
    <xf numFmtId="0" fontId="67" fillId="0" borderId="72" xfId="33" applyFont="1" applyBorder="1" applyAlignment="1">
      <alignment horizontal="center" vertical="center"/>
    </xf>
    <xf numFmtId="0" fontId="65" fillId="0" borderId="29" xfId="33" applyFont="1" applyBorder="1" applyAlignment="1">
      <alignment horizontal="center" vertical="center"/>
    </xf>
    <xf numFmtId="0" fontId="0" fillId="0" borderId="31" xfId="33" applyFont="1" applyBorder="1" applyAlignment="1">
      <alignment horizontal="center" vertical="center"/>
    </xf>
    <xf numFmtId="0" fontId="58" fillId="0" borderId="31" xfId="33" applyFont="1" applyBorder="1" applyAlignment="1">
      <alignment horizontal="center" vertical="center"/>
    </xf>
    <xf numFmtId="0" fontId="58" fillId="0" borderId="76" xfId="33" applyFont="1" applyBorder="1" applyAlignment="1">
      <alignment horizontal="center" vertical="center"/>
    </xf>
    <xf numFmtId="0" fontId="66" fillId="0" borderId="80" xfId="33" applyFont="1" applyBorder="1" applyAlignment="1">
      <alignment horizontal="center" vertical="center"/>
    </xf>
    <xf numFmtId="0" fontId="66" fillId="0" borderId="81" xfId="33" applyFont="1" applyBorder="1" applyAlignment="1">
      <alignment horizontal="center" vertical="center"/>
    </xf>
    <xf numFmtId="177" fontId="58" fillId="2" borderId="82" xfId="33" applyNumberFormat="1" applyFont="1" applyFill="1" applyBorder="1" applyAlignment="1">
      <alignment horizontal="center" vertical="center"/>
    </xf>
    <xf numFmtId="177" fontId="58" fillId="2" borderId="0" xfId="33" applyNumberFormat="1" applyFont="1" applyFill="1" applyBorder="1" applyAlignment="1">
      <alignment horizontal="center" vertical="center"/>
    </xf>
    <xf numFmtId="177" fontId="58" fillId="2" borderId="0" xfId="33" applyNumberFormat="1" applyFont="1" applyFill="1" applyAlignment="1">
      <alignment horizontal="center" vertical="center"/>
    </xf>
    <xf numFmtId="177" fontId="63" fillId="0" borderId="8" xfId="33" applyNumberFormat="1" applyFont="1" applyBorder="1" applyAlignment="1">
      <alignment horizontal="center" vertical="center"/>
    </xf>
    <xf numFmtId="0" fontId="58" fillId="0" borderId="68" xfId="33" applyFont="1" applyBorder="1" applyAlignment="1">
      <alignment horizontal="center" vertical="center"/>
    </xf>
    <xf numFmtId="0" fontId="58" fillId="0" borderId="69" xfId="33" applyFont="1" applyBorder="1" applyAlignment="1">
      <alignment horizontal="center" vertical="center"/>
    </xf>
    <xf numFmtId="0" fontId="58" fillId="0" borderId="78" xfId="33" applyFont="1" applyBorder="1" applyAlignment="1">
      <alignment horizontal="center" vertical="center"/>
    </xf>
    <xf numFmtId="0" fontId="60" fillId="0" borderId="0" xfId="33" applyFont="1" applyAlignment="1">
      <alignment horizontal="right"/>
    </xf>
    <xf numFmtId="0" fontId="61" fillId="0" borderId="0" xfId="33" applyFont="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0" fillId="0" borderId="0" xfId="33" applyFont="1" applyAlignment="1">
      <alignment horizontal="center"/>
    </xf>
    <xf numFmtId="0" fontId="4" fillId="0" borderId="20" xfId="33" applyFont="1" applyBorder="1" applyAlignment="1">
      <alignment horizontal="center"/>
    </xf>
    <xf numFmtId="58" fontId="58" fillId="0" borderId="20" xfId="33" applyNumberFormat="1" applyFont="1" applyBorder="1" applyAlignment="1">
      <alignment horizontal="center"/>
    </xf>
    <xf numFmtId="0" fontId="58" fillId="0" borderId="20" xfId="33" applyFont="1" applyBorder="1" applyAlignment="1">
      <alignment horizontal="center"/>
    </xf>
    <xf numFmtId="0" fontId="0" fillId="0" borderId="20" xfId="33" applyFont="1" applyBorder="1" applyAlignment="1">
      <alignment horizontal="center"/>
    </xf>
    <xf numFmtId="0" fontId="64" fillId="0" borderId="4" xfId="33" applyFont="1" applyBorder="1" applyAlignment="1">
      <alignment horizontal="center"/>
    </xf>
    <xf numFmtId="0" fontId="67" fillId="0" borderId="0" xfId="33" applyFont="1" applyFill="1" applyAlignment="1">
      <alignment horizontal="center" vertical="center"/>
    </xf>
    <xf numFmtId="0" fontId="0" fillId="0" borderId="4" xfId="33" applyFont="1" applyFill="1" applyBorder="1" applyAlignment="1">
      <alignment horizontal="center" vertical="center"/>
    </xf>
    <xf numFmtId="0" fontId="58" fillId="0" borderId="4" xfId="33" applyFont="1" applyFill="1" applyBorder="1" applyAlignment="1">
      <alignment horizontal="center" vertical="center"/>
    </xf>
    <xf numFmtId="179" fontId="58" fillId="0" borderId="4" xfId="33" applyNumberFormat="1" applyFont="1" applyFill="1" applyBorder="1" applyAlignment="1">
      <alignment horizontal="center" vertical="center"/>
    </xf>
    <xf numFmtId="0" fontId="63" fillId="0" borderId="1" xfId="33" applyFont="1" applyFill="1" applyBorder="1" applyAlignment="1">
      <alignment horizontal="center" vertical="center"/>
    </xf>
    <xf numFmtId="0" fontId="63" fillId="0" borderId="85" xfId="33" applyFont="1" applyFill="1" applyBorder="1" applyAlignment="1">
      <alignment horizontal="center" vertical="center"/>
    </xf>
    <xf numFmtId="0" fontId="67" fillId="0" borderId="84" xfId="33" applyFont="1" applyFill="1" applyBorder="1" applyAlignment="1">
      <alignment horizontal="center" vertical="center"/>
    </xf>
    <xf numFmtId="0" fontId="67" fillId="0" borderId="86" xfId="33" applyFont="1" applyFill="1" applyBorder="1" applyAlignment="1">
      <alignment horizontal="center" vertical="center"/>
    </xf>
    <xf numFmtId="0" fontId="67" fillId="0" borderId="1" xfId="33" applyFont="1" applyFill="1" applyBorder="1" applyAlignment="1">
      <alignment horizontal="center" vertical="center"/>
    </xf>
    <xf numFmtId="0" fontId="67" fillId="0" borderId="87" xfId="33" applyFont="1" applyFill="1" applyBorder="1" applyAlignment="1">
      <alignment horizontal="center" vertical="center"/>
    </xf>
    <xf numFmtId="0" fontId="63" fillId="0" borderId="1" xfId="33" applyFont="1" applyFill="1" applyBorder="1" applyAlignment="1">
      <alignment horizontal="center" vertical="center" wrapText="1"/>
    </xf>
    <xf numFmtId="0" fontId="63" fillId="0" borderId="84" xfId="33" applyFont="1" applyFill="1" applyBorder="1" applyAlignment="1">
      <alignment horizontal="center" vertical="center" wrapText="1"/>
    </xf>
    <xf numFmtId="0" fontId="7" fillId="0" borderId="1" xfId="26" applyFont="1" applyFill="1" applyBorder="1" applyAlignment="1">
      <alignment horizontal="center" vertical="center"/>
    </xf>
    <xf numFmtId="0" fontId="58" fillId="0" borderId="81" xfId="33" applyFont="1" applyFill="1" applyBorder="1" applyAlignment="1">
      <alignment horizontal="center" vertical="center"/>
    </xf>
    <xf numFmtId="0" fontId="58" fillId="0" borderId="85" xfId="33" applyFont="1" applyFill="1" applyBorder="1" applyAlignment="1">
      <alignment horizontal="center" vertical="center"/>
    </xf>
    <xf numFmtId="0" fontId="73" fillId="13" borderId="80" xfId="34" applyFont="1" applyFill="1" applyBorder="1" applyAlignment="1">
      <alignment horizontal="center" vertical="center" wrapText="1"/>
    </xf>
    <xf numFmtId="0" fontId="73" fillId="13" borderId="81" xfId="34" applyFont="1" applyFill="1" applyBorder="1" applyAlignment="1">
      <alignment horizontal="center" vertical="center" wrapText="1"/>
    </xf>
    <xf numFmtId="0" fontId="58" fillId="0" borderId="84" xfId="33" applyFont="1" applyFill="1" applyBorder="1" applyAlignment="1">
      <alignment horizontal="center" vertical="center"/>
    </xf>
    <xf numFmtId="0" fontId="58" fillId="0" borderId="1" xfId="33" applyFont="1" applyFill="1" applyBorder="1" applyAlignment="1">
      <alignment horizontal="center" vertical="center"/>
    </xf>
    <xf numFmtId="0" fontId="58" fillId="0" borderId="83" xfId="33" applyFont="1" applyFill="1" applyBorder="1" applyAlignment="1">
      <alignment horizontal="center" vertical="center"/>
    </xf>
    <xf numFmtId="0" fontId="58" fillId="0" borderId="80" xfId="33" applyFont="1" applyFill="1" applyBorder="1" applyAlignment="1">
      <alignment horizontal="center" vertical="center"/>
    </xf>
    <xf numFmtId="182" fontId="58" fillId="0" borderId="80" xfId="33" applyNumberFormat="1" applyFont="1" applyFill="1" applyBorder="1" applyAlignment="1">
      <alignment horizontal="center" vertical="center"/>
    </xf>
    <xf numFmtId="182" fontId="58"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0" fontId="75" fillId="0" borderId="85" xfId="33" applyFont="1" applyFill="1" applyBorder="1" applyAlignment="1">
      <alignment horizontal="center" vertical="center"/>
    </xf>
    <xf numFmtId="0" fontId="44" fillId="0" borderId="0" xfId="33" applyFont="1" applyAlignment="1">
      <alignment horizontal="center" vertical="center"/>
    </xf>
    <xf numFmtId="0" fontId="71" fillId="0" borderId="0" xfId="33" applyFont="1" applyAlignment="1">
      <alignment horizontal="center" vertical="center"/>
    </xf>
    <xf numFmtId="0" fontId="58" fillId="0" borderId="0" xfId="33" applyFont="1" applyFill="1" applyBorder="1" applyAlignment="1">
      <alignment horizontal="center" vertical="center"/>
    </xf>
    <xf numFmtId="0" fontId="31" fillId="0" borderId="0" xfId="32" applyFont="1" applyAlignment="1">
      <alignment horizontal="center"/>
    </xf>
    <xf numFmtId="14" fontId="33" fillId="0" borderId="1" xfId="3" applyNumberFormat="1" applyFont="1" applyBorder="1" applyAlignment="1">
      <alignment horizontal="center" vertical="center"/>
    </xf>
    <xf numFmtId="0" fontId="47" fillId="0" borderId="0" xfId="36" applyFont="1" applyAlignment="1">
      <alignment horizontal="right"/>
    </xf>
    <xf numFmtId="0" fontId="80" fillId="0" borderId="0" xfId="36" applyFont="1" applyAlignment="1">
      <alignment horizontal="center"/>
    </xf>
    <xf numFmtId="0" fontId="2" fillId="0" borderId="0" xfId="36" applyFont="1" applyBorder="1" applyAlignment="1">
      <alignment horizontal="center"/>
    </xf>
    <xf numFmtId="0" fontId="2" fillId="0" borderId="4" xfId="36" applyFont="1" applyBorder="1" applyAlignment="1">
      <alignment horizontal="center"/>
    </xf>
    <xf numFmtId="0" fontId="2" fillId="0" borderId="0" xfId="36" applyFont="1" applyAlignment="1">
      <alignment horizontal="center"/>
    </xf>
    <xf numFmtId="0" fontId="0" fillId="0" borderId="8" xfId="36" applyFont="1" applyBorder="1" applyAlignment="1">
      <alignment horizontal="center" vertical="center"/>
    </xf>
    <xf numFmtId="0" fontId="2" fillId="0" borderId="9" xfId="36" applyFont="1" applyBorder="1" applyAlignment="1">
      <alignment horizontal="center" vertical="center"/>
    </xf>
    <xf numFmtId="0" fontId="2" fillId="0" borderId="8" xfId="36" applyFont="1" applyBorder="1" applyAlignment="1">
      <alignment horizontal="center" vertical="center"/>
    </xf>
    <xf numFmtId="0" fontId="2" fillId="0" borderId="72" xfId="36" applyFont="1" applyBorder="1" applyAlignment="1">
      <alignment horizontal="center" vertical="center"/>
    </xf>
    <xf numFmtId="0" fontId="0" fillId="0" borderId="0" xfId="36" applyFont="1" applyAlignment="1">
      <alignment horizontal="center"/>
    </xf>
    <xf numFmtId="0" fontId="4" fillId="0" borderId="20" xfId="36" applyFont="1" applyBorder="1" applyAlignment="1">
      <alignment horizontal="center"/>
    </xf>
    <xf numFmtId="14" fontId="2" fillId="0" borderId="20" xfId="36" applyNumberFormat="1" applyFont="1" applyBorder="1" applyAlignment="1">
      <alignment horizontal="center"/>
    </xf>
    <xf numFmtId="0" fontId="2" fillId="0" borderId="20" xfId="36" applyFont="1" applyBorder="1" applyAlignment="1">
      <alignment horizontal="center"/>
    </xf>
    <xf numFmtId="0" fontId="0" fillId="0" borderId="20" xfId="36" applyFont="1" applyBorder="1" applyAlignment="1">
      <alignment horizontal="center"/>
    </xf>
    <xf numFmtId="0" fontId="4" fillId="2" borderId="4" xfId="36" applyFont="1" applyFill="1" applyBorder="1" applyAlignment="1">
      <alignment horizontal="center"/>
    </xf>
    <xf numFmtId="0" fontId="80" fillId="0" borderId="29" xfId="36" applyFont="1" applyBorder="1" applyAlignment="1">
      <alignment horizontal="center"/>
    </xf>
    <xf numFmtId="0" fontId="2" fillId="0" borderId="31" xfId="36" applyFont="1" applyBorder="1" applyAlignment="1">
      <alignment horizontal="center" vertical="center"/>
    </xf>
    <xf numFmtId="0" fontId="48" fillId="0" borderId="76" xfId="36" applyFont="1" applyBorder="1" applyAlignment="1">
      <alignment horizontal="center" vertical="center"/>
    </xf>
    <xf numFmtId="0" fontId="48" fillId="0" borderId="77" xfId="36" applyFont="1" applyBorder="1" applyAlignment="1">
      <alignment horizontal="center" vertical="center"/>
    </xf>
    <xf numFmtId="0" fontId="48" fillId="0" borderId="79" xfId="36" applyFont="1" applyBorder="1" applyAlignment="1">
      <alignment horizontal="center" vertical="center"/>
    </xf>
    <xf numFmtId="0" fontId="7" fillId="0" borderId="8" xfId="36" applyFont="1" applyBorder="1" applyAlignment="1">
      <alignment horizontal="center" vertical="center"/>
    </xf>
    <xf numFmtId="0" fontId="7" fillId="0" borderId="9" xfId="36" applyFont="1" applyBorder="1" applyAlignment="1">
      <alignment horizontal="center" vertical="center"/>
    </xf>
    <xf numFmtId="0" fontId="3" fillId="0" borderId="8" xfId="36" applyFont="1" applyBorder="1" applyAlignment="1">
      <alignment horizontal="center" vertical="center"/>
    </xf>
    <xf numFmtId="0" fontId="3" fillId="0" borderId="72" xfId="36" applyFont="1" applyBorder="1" applyAlignment="1">
      <alignment horizontal="center" vertical="center"/>
    </xf>
    <xf numFmtId="0" fontId="6" fillId="0" borderId="0" xfId="36" applyFont="1" applyBorder="1" applyAlignment="1">
      <alignment horizontal="center"/>
    </xf>
    <xf numFmtId="0" fontId="2" fillId="0" borderId="71" xfId="36" applyFont="1" applyBorder="1" applyAlignment="1">
      <alignment horizontal="center" vertical="center"/>
    </xf>
    <xf numFmtId="0" fontId="2" fillId="0" borderId="75" xfId="36" applyFont="1" applyBorder="1" applyAlignment="1">
      <alignment horizontal="center" vertical="center"/>
    </xf>
    <xf numFmtId="0" fontId="2" fillId="0" borderId="74" xfId="36" applyFont="1" applyBorder="1" applyAlignment="1">
      <alignment horizontal="center" vertical="center"/>
    </xf>
    <xf numFmtId="0" fontId="5" fillId="0" borderId="0" xfId="36" applyFont="1" applyBorder="1" applyAlignment="1">
      <alignment horizontal="center" vertical="center"/>
    </xf>
    <xf numFmtId="0" fontId="2" fillId="0" borderId="0" xfId="36" applyFont="1" applyBorder="1" applyAlignment="1">
      <alignment horizontal="center" vertical="center"/>
    </xf>
    <xf numFmtId="0" fontId="43" fillId="0" borderId="0" xfId="36" applyFont="1" applyBorder="1" applyAlignment="1">
      <alignment horizontal="center"/>
    </xf>
    <xf numFmtId="0" fontId="0" fillId="0" borderId="0" xfId="33" applyFont="1" applyFill="1" applyBorder="1" applyAlignment="1">
      <alignment horizontal="center" vertical="center"/>
    </xf>
    <xf numFmtId="0" fontId="2" fillId="0" borderId="0" xfId="33" applyFont="1" applyFill="1" applyBorder="1" applyAlignment="1">
      <alignment horizontal="center" vertical="center"/>
    </xf>
    <xf numFmtId="0" fontId="2" fillId="3" borderId="0" xfId="33" applyFont="1" applyFill="1" applyBorder="1" applyAlignment="1">
      <alignment horizontal="center" vertical="center"/>
    </xf>
    <xf numFmtId="179" fontId="2" fillId="3" borderId="0" xfId="33" applyNumberFormat="1" applyFont="1" applyFill="1" applyBorder="1" applyAlignment="1">
      <alignment horizontal="center" vertical="center"/>
    </xf>
    <xf numFmtId="179" fontId="2" fillId="0" borderId="80" xfId="33" applyNumberFormat="1" applyFont="1" applyFill="1" applyBorder="1" applyAlignment="1">
      <alignment horizontal="center" vertical="center"/>
    </xf>
    <xf numFmtId="0" fontId="2" fillId="0" borderId="80" xfId="33" applyFont="1" applyFill="1" applyBorder="1" applyAlignment="1">
      <alignment horizontal="center" vertical="center"/>
    </xf>
    <xf numFmtId="0" fontId="2" fillId="0" borderId="16" xfId="33" applyFont="1" applyFill="1" applyBorder="1" applyAlignment="1">
      <alignment horizontal="center" vertical="center"/>
    </xf>
    <xf numFmtId="0" fontId="0" fillId="0" borderId="80" xfId="33" applyFont="1" applyFill="1" applyBorder="1" applyAlignment="1">
      <alignment horizontal="center" vertical="center"/>
    </xf>
    <xf numFmtId="0" fontId="2" fillId="0" borderId="81" xfId="33" applyFont="1" applyFill="1" applyBorder="1" applyAlignment="1">
      <alignment horizontal="center" vertical="center"/>
    </xf>
    <xf numFmtId="0" fontId="2" fillId="0" borderId="90" xfId="33" applyFont="1" applyFill="1" applyBorder="1" applyAlignment="1">
      <alignment horizontal="center" vertical="center"/>
    </xf>
    <xf numFmtId="0" fontId="2" fillId="0" borderId="89" xfId="33" applyFont="1" applyFill="1" applyBorder="1" applyAlignment="1">
      <alignment horizontal="center" vertical="center"/>
    </xf>
    <xf numFmtId="179" fontId="2" fillId="0" borderId="16" xfId="33" applyNumberFormat="1" applyFont="1" applyFill="1" applyBorder="1" applyAlignment="1">
      <alignment horizontal="center" vertical="center"/>
    </xf>
    <xf numFmtId="0" fontId="2" fillId="0" borderId="83" xfId="33" applyFont="1" applyFill="1" applyBorder="1" applyAlignment="1">
      <alignment horizontal="center" vertical="center"/>
    </xf>
    <xf numFmtId="0" fontId="7" fillId="8" borderId="84" xfId="33" applyFont="1" applyFill="1" applyBorder="1" applyAlignment="1">
      <alignment horizontal="center" vertical="center" wrapText="1"/>
    </xf>
    <xf numFmtId="0" fontId="7" fillId="8" borderId="1" xfId="33" applyFont="1" applyFill="1" applyBorder="1" applyAlignment="1">
      <alignment horizontal="center" vertical="center"/>
    </xf>
    <xf numFmtId="0" fontId="7" fillId="8" borderId="89" xfId="33" applyFont="1" applyFill="1" applyBorder="1" applyAlignment="1">
      <alignment horizontal="center" vertical="center" wrapText="1"/>
    </xf>
    <xf numFmtId="0" fontId="7" fillId="8" borderId="92" xfId="33" applyFont="1" applyFill="1" applyBorder="1" applyAlignment="1">
      <alignment horizontal="center" vertical="center" wrapText="1"/>
    </xf>
    <xf numFmtId="0" fontId="7" fillId="8" borderId="93" xfId="33" applyFont="1" applyFill="1" applyBorder="1" applyAlignment="1">
      <alignment horizontal="center" vertical="center" wrapText="1"/>
    </xf>
    <xf numFmtId="0" fontId="2" fillId="18" borderId="3" xfId="33" applyFont="1" applyFill="1" applyBorder="1" applyAlignment="1">
      <alignment horizontal="center" vertical="center"/>
    </xf>
    <xf numFmtId="0" fontId="2" fillId="18" borderId="20" xfId="33" applyFont="1" applyFill="1" applyBorder="1" applyAlignment="1">
      <alignment horizontal="center" vertical="center"/>
    </xf>
    <xf numFmtId="0" fontId="2" fillId="18" borderId="19" xfId="33" applyFont="1" applyFill="1" applyBorder="1" applyAlignment="1">
      <alignment horizontal="center" vertical="center"/>
    </xf>
    <xf numFmtId="0" fontId="7" fillId="8" borderId="22" xfId="33" applyFont="1" applyFill="1" applyBorder="1" applyAlignment="1">
      <alignment horizontal="center" vertical="center" wrapText="1"/>
    </xf>
    <xf numFmtId="0" fontId="7" fillId="8" borderId="23" xfId="33" applyFont="1" applyFill="1" applyBorder="1" applyAlignment="1">
      <alignment horizontal="center" vertical="center" wrapText="1"/>
    </xf>
    <xf numFmtId="0" fontId="7" fillId="8" borderId="15" xfId="33" applyFont="1" applyFill="1" applyBorder="1" applyAlignment="1">
      <alignment horizontal="center" vertical="center" wrapText="1"/>
    </xf>
    <xf numFmtId="0" fontId="7" fillId="8" borderId="24" xfId="33" applyFont="1" applyFill="1" applyBorder="1" applyAlignment="1">
      <alignment horizontal="center" vertical="center" wrapText="1"/>
    </xf>
    <xf numFmtId="0" fontId="7" fillId="8" borderId="25" xfId="33" applyFont="1" applyFill="1" applyBorder="1" applyAlignment="1">
      <alignment horizontal="center" vertical="center" wrapText="1"/>
    </xf>
    <xf numFmtId="0" fontId="7" fillId="8" borderId="26" xfId="33" applyFont="1" applyFill="1" applyBorder="1" applyAlignment="1">
      <alignment horizontal="center" vertical="center" wrapText="1"/>
    </xf>
    <xf numFmtId="0" fontId="7" fillId="8" borderId="1" xfId="33" applyFont="1" applyFill="1" applyBorder="1" applyAlignment="1">
      <alignment horizontal="center" vertical="center" wrapText="1"/>
    </xf>
    <xf numFmtId="0" fontId="83" fillId="18" borderId="16" xfId="33" applyFont="1" applyFill="1" applyBorder="1" applyAlignment="1">
      <alignment horizontal="center" vertical="center" wrapText="1"/>
    </xf>
    <xf numFmtId="0" fontId="83" fillId="18" borderId="2" xfId="33" applyFont="1" applyFill="1" applyBorder="1" applyAlignment="1">
      <alignment horizontal="center" vertical="center" wrapText="1"/>
    </xf>
    <xf numFmtId="0" fontId="83" fillId="18" borderId="21" xfId="33" applyFont="1" applyFill="1" applyBorder="1" applyAlignment="1">
      <alignment horizontal="center" vertical="center" wrapText="1"/>
    </xf>
    <xf numFmtId="0" fontId="7" fillId="0" borderId="22"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5" xfId="33" applyFont="1" applyFill="1" applyBorder="1" applyAlignment="1">
      <alignment horizontal="center" vertical="center"/>
    </xf>
    <xf numFmtId="0" fontId="7" fillId="0" borderId="24" xfId="33" applyFont="1" applyFill="1" applyBorder="1" applyAlignment="1">
      <alignment horizontal="center" vertical="center"/>
    </xf>
    <xf numFmtId="0" fontId="7" fillId="0" borderId="25" xfId="33" applyFont="1" applyFill="1" applyBorder="1" applyAlignment="1">
      <alignment horizontal="center" vertical="center"/>
    </xf>
    <xf numFmtId="0" fontId="7" fillId="0" borderId="26" xfId="33" applyFont="1" applyFill="1" applyBorder="1" applyAlignment="1">
      <alignment horizontal="center" vertical="center"/>
    </xf>
    <xf numFmtId="0" fontId="7" fillId="0" borderId="1" xfId="33" applyFont="1" applyFill="1" applyBorder="1" applyAlignment="1">
      <alignment horizontal="center" vertical="center"/>
    </xf>
    <xf numFmtId="0" fontId="84" fillId="8" borderId="22" xfId="33" applyFont="1" applyFill="1" applyBorder="1" applyAlignment="1">
      <alignment horizontal="center" vertical="center" wrapText="1"/>
    </xf>
    <xf numFmtId="0" fontId="84" fillId="8" borderId="17" xfId="33" applyFont="1" applyFill="1" applyBorder="1" applyAlignment="1">
      <alignment horizontal="center" vertical="center" wrapText="1"/>
    </xf>
    <xf numFmtId="0" fontId="84" fillId="8" borderId="23" xfId="33" applyFont="1" applyFill="1" applyBorder="1" applyAlignment="1">
      <alignment horizontal="center" vertical="center" wrapText="1"/>
    </xf>
    <xf numFmtId="0" fontId="84" fillId="8" borderId="15" xfId="33" applyFont="1" applyFill="1" applyBorder="1" applyAlignment="1">
      <alignment horizontal="center" vertical="center" wrapText="1"/>
    </xf>
    <xf numFmtId="0" fontId="84" fillId="8" borderId="0" xfId="33" applyFont="1" applyFill="1" applyBorder="1" applyAlignment="1">
      <alignment horizontal="center" vertical="center" wrapText="1"/>
    </xf>
    <xf numFmtId="0" fontId="84" fillId="8" borderId="24" xfId="33" applyFont="1" applyFill="1" applyBorder="1" applyAlignment="1">
      <alignment horizontal="center" vertical="center" wrapText="1"/>
    </xf>
    <xf numFmtId="0" fontId="84" fillId="8" borderId="25" xfId="33" applyFont="1" applyFill="1" applyBorder="1" applyAlignment="1">
      <alignment horizontal="center" vertical="center" wrapText="1"/>
    </xf>
    <xf numFmtId="0" fontId="84" fillId="8" borderId="4" xfId="33" applyFont="1" applyFill="1" applyBorder="1" applyAlignment="1">
      <alignment horizontal="center" vertical="center" wrapText="1"/>
    </xf>
    <xf numFmtId="0" fontId="84" fillId="8" borderId="26" xfId="33" applyFont="1" applyFill="1" applyBorder="1" applyAlignment="1">
      <alignment horizontal="center" vertical="center" wrapText="1"/>
    </xf>
    <xf numFmtId="0" fontId="7" fillId="8" borderId="3" xfId="33" applyFont="1" applyFill="1" applyBorder="1" applyAlignment="1">
      <alignment horizontal="center" vertical="center"/>
    </xf>
    <xf numFmtId="0" fontId="7" fillId="8" borderId="19" xfId="33" applyFont="1" applyFill="1" applyBorder="1" applyAlignment="1">
      <alignment horizontal="center" vertical="center"/>
    </xf>
    <xf numFmtId="0" fontId="83" fillId="15" borderId="16" xfId="33" applyFont="1" applyFill="1" applyBorder="1" applyAlignment="1">
      <alignment horizontal="center" vertical="center" wrapText="1"/>
    </xf>
    <xf numFmtId="0" fontId="83" fillId="15" borderId="2" xfId="33" applyFont="1" applyFill="1" applyBorder="1" applyAlignment="1">
      <alignment horizontal="center" vertical="center" wrapText="1"/>
    </xf>
    <xf numFmtId="0" fontId="83" fillId="15" borderId="21" xfId="33" applyFont="1" applyFill="1" applyBorder="1" applyAlignment="1">
      <alignment horizontal="center" vertical="center" wrapText="1"/>
    </xf>
    <xf numFmtId="0" fontId="7" fillId="8" borderId="95" xfId="33" applyFont="1" applyFill="1" applyBorder="1" applyAlignment="1">
      <alignment horizontal="center" vertical="center" wrapText="1"/>
    </xf>
    <xf numFmtId="0" fontId="7" fillId="8" borderId="3" xfId="33" applyFont="1" applyFill="1" applyBorder="1" applyAlignment="1">
      <alignment horizontal="center" vertical="center" wrapText="1"/>
    </xf>
    <xf numFmtId="0" fontId="7" fillId="8" borderId="19" xfId="33" applyFont="1" applyFill="1" applyBorder="1" applyAlignment="1">
      <alignment horizontal="center" vertical="center" wrapText="1"/>
    </xf>
    <xf numFmtId="0" fontId="2" fillId="0" borderId="0" xfId="33" applyFont="1" applyFill="1" applyAlignment="1">
      <alignment horizontal="center" vertical="center"/>
    </xf>
    <xf numFmtId="179" fontId="2" fillId="0" borderId="4" xfId="33" applyNumberFormat="1" applyFont="1" applyFill="1" applyBorder="1" applyAlignment="1">
      <alignment horizontal="center" vertical="center"/>
    </xf>
    <xf numFmtId="0" fontId="2" fillId="0" borderId="0" xfId="33" applyFont="1" applyFill="1" applyAlignment="1">
      <alignment horizontal="right" vertical="center"/>
    </xf>
    <xf numFmtId="0" fontId="2" fillId="0" borderId="4" xfId="33" applyFont="1" applyFill="1" applyBorder="1" applyAlignment="1">
      <alignment horizontal="center" vertical="center"/>
    </xf>
    <xf numFmtId="0" fontId="7" fillId="8" borderId="96" xfId="33" applyFont="1" applyFill="1" applyBorder="1" applyAlignment="1">
      <alignment horizontal="center" vertical="center"/>
    </xf>
    <xf numFmtId="0" fontId="7" fillId="8" borderId="97" xfId="33" applyFont="1" applyFill="1" applyBorder="1" applyAlignment="1">
      <alignment horizontal="center" vertical="center"/>
    </xf>
    <xf numFmtId="0" fontId="7" fillId="8" borderId="87" xfId="33" applyFont="1" applyFill="1" applyBorder="1" applyAlignment="1">
      <alignment horizontal="center" vertical="center"/>
    </xf>
    <xf numFmtId="0" fontId="9" fillId="0" borderId="0" xfId="33" applyFont="1" applyFill="1" applyAlignment="1">
      <alignment horizontal="center" vertical="center"/>
    </xf>
    <xf numFmtId="0" fontId="7" fillId="8" borderId="87" xfId="33" applyFont="1" applyFill="1" applyBorder="1" applyAlignment="1">
      <alignment horizontal="center" vertical="center" wrapText="1"/>
    </xf>
    <xf numFmtId="0" fontId="7" fillId="8" borderId="20" xfId="33" applyFont="1" applyFill="1" applyBorder="1" applyAlignment="1">
      <alignment horizontal="center" vertical="center"/>
    </xf>
    <xf numFmtId="0" fontId="58" fillId="0" borderId="1" xfId="38" applyFont="1" applyBorder="1" applyAlignment="1">
      <alignment horizontal="center"/>
    </xf>
    <xf numFmtId="0" fontId="60" fillId="0" borderId="0" xfId="38" applyFont="1" applyAlignment="1">
      <alignment horizontal="center"/>
    </xf>
    <xf numFmtId="0" fontId="85" fillId="0" borderId="0" xfId="38" applyFont="1" applyAlignment="1">
      <alignment horizontal="center"/>
    </xf>
    <xf numFmtId="0" fontId="86" fillId="0" borderId="0" xfId="38" applyFont="1" applyAlignment="1">
      <alignment horizontal="center"/>
    </xf>
    <xf numFmtId="0" fontId="58" fillId="0" borderId="4" xfId="38" applyFont="1" applyBorder="1" applyAlignment="1">
      <alignment horizontal="center"/>
    </xf>
    <xf numFmtId="0" fontId="4" fillId="0" borderId="4" xfId="38" applyFont="1" applyBorder="1" applyAlignment="1">
      <alignment horizontal="center"/>
    </xf>
    <xf numFmtId="179" fontId="63" fillId="0" borderId="4" xfId="38" applyNumberFormat="1" applyFont="1" applyBorder="1" applyAlignment="1">
      <alignment horizontal="center"/>
    </xf>
    <xf numFmtId="0" fontId="58" fillId="0" borderId="20" xfId="38" applyFont="1" applyBorder="1" applyAlignment="1">
      <alignment horizontal="center"/>
    </xf>
    <xf numFmtId="0" fontId="0" fillId="0" borderId="20" xfId="38" applyFont="1" applyBorder="1" applyAlignment="1">
      <alignment horizontal="center"/>
    </xf>
    <xf numFmtId="0" fontId="58" fillId="2" borderId="1" xfId="38" applyFont="1" applyFill="1" applyBorder="1" applyAlignment="1">
      <alignment horizontal="center"/>
    </xf>
    <xf numFmtId="0" fontId="58" fillId="3" borderId="1" xfId="38" applyFont="1" applyFill="1" applyBorder="1" applyAlignment="1">
      <alignment horizontal="center"/>
    </xf>
    <xf numFmtId="0" fontId="87" fillId="19" borderId="17" xfId="38" applyNumberFormat="1" applyFont="1" applyFill="1" applyBorder="1" applyAlignment="1">
      <alignment horizontal="center"/>
    </xf>
    <xf numFmtId="0" fontId="0" fillId="19" borderId="17" xfId="38" applyNumberFormat="1" applyFont="1" applyFill="1" applyBorder="1" applyAlignment="1">
      <alignment horizontal="center"/>
    </xf>
    <xf numFmtId="0" fontId="0" fillId="19" borderId="0" xfId="38" applyNumberFormat="1" applyFont="1" applyFill="1" applyBorder="1" applyAlignment="1">
      <alignment horizontal="center"/>
    </xf>
    <xf numFmtId="0" fontId="43" fillId="0" borderId="0" xfId="38" applyFont="1" applyBorder="1" applyAlignment="1">
      <alignment horizontal="center"/>
    </xf>
    <xf numFmtId="0" fontId="68" fillId="0" borderId="0" xfId="38" applyFont="1" applyBorder="1" applyAlignment="1">
      <alignment horizontal="center"/>
    </xf>
    <xf numFmtId="0" fontId="69" fillId="0" borderId="0" xfId="38" applyFont="1" applyBorder="1" applyAlignment="1">
      <alignment horizontal="center"/>
    </xf>
    <xf numFmtId="0" fontId="58" fillId="0" borderId="0" xfId="38" applyFont="1" applyBorder="1" applyAlignment="1">
      <alignment horizontal="center"/>
    </xf>
    <xf numFmtId="14" fontId="63" fillId="0" borderId="0" xfId="38" applyNumberFormat="1" applyFont="1" applyBorder="1" applyAlignment="1">
      <alignment horizontal="center"/>
    </xf>
    <xf numFmtId="0" fontId="63" fillId="0" borderId="0" xfId="38" applyFont="1" applyBorder="1" applyAlignment="1">
      <alignment horizontal="center"/>
    </xf>
    <xf numFmtId="0" fontId="60" fillId="0" borderId="0" xfId="33" applyFont="1" applyAlignment="1">
      <alignment horizontal="center"/>
    </xf>
    <xf numFmtId="0" fontId="85" fillId="0" borderId="0" xfId="33" applyFont="1" applyAlignment="1">
      <alignment horizontal="center"/>
    </xf>
    <xf numFmtId="0" fontId="86" fillId="0" borderId="0" xfId="33" applyFont="1" applyAlignment="1">
      <alignment horizontal="center"/>
    </xf>
    <xf numFmtId="0" fontId="4" fillId="0" borderId="4" xfId="33" applyFont="1" applyBorder="1" applyAlignment="1">
      <alignment horizontal="center"/>
    </xf>
    <xf numFmtId="179" fontId="63" fillId="0" borderId="4" xfId="33" applyNumberFormat="1" applyFont="1" applyBorder="1" applyAlignment="1">
      <alignment horizontal="center"/>
    </xf>
    <xf numFmtId="0" fontId="0" fillId="0" borderId="3" xfId="33" applyFont="1" applyBorder="1" applyAlignment="1">
      <alignment horizontal="center"/>
    </xf>
    <xf numFmtId="0" fontId="58" fillId="0" borderId="19" xfId="33" applyFont="1" applyBorder="1" applyAlignment="1">
      <alignment horizontal="center"/>
    </xf>
    <xf numFmtId="0" fontId="63" fillId="0" borderId="20" xfId="33" applyFont="1" applyBorder="1" applyAlignment="1">
      <alignment horizontal="center"/>
    </xf>
    <xf numFmtId="0" fontId="58" fillId="0" borderId="1" xfId="33" applyFont="1" applyBorder="1" applyAlignment="1">
      <alignment horizontal="center"/>
    </xf>
    <xf numFmtId="0" fontId="0" fillId="20" borderId="3" xfId="33" applyFont="1" applyFill="1" applyBorder="1" applyAlignment="1">
      <alignment horizontal="center"/>
    </xf>
    <xf numFmtId="0" fontId="58" fillId="20" borderId="19" xfId="33" applyFont="1" applyFill="1" applyBorder="1" applyAlignment="1">
      <alignment horizontal="center"/>
    </xf>
    <xf numFmtId="0" fontId="58" fillId="20" borderId="3" xfId="33" applyFont="1" applyFill="1" applyBorder="1" applyAlignment="1">
      <alignment horizontal="center"/>
    </xf>
    <xf numFmtId="0" fontId="0" fillId="0" borderId="1" xfId="33" applyFont="1" applyBorder="1" applyAlignment="1">
      <alignment horizontal="center"/>
    </xf>
    <xf numFmtId="0" fontId="4" fillId="0" borderId="1" xfId="33" applyFont="1" applyBorder="1" applyAlignment="1">
      <alignment horizontal="center"/>
    </xf>
    <xf numFmtId="0" fontId="63" fillId="0" borderId="3" xfId="33" applyFont="1" applyBorder="1" applyAlignment="1">
      <alignment horizontal="center"/>
    </xf>
    <xf numFmtId="0" fontId="63" fillId="0" borderId="19" xfId="33" applyFont="1" applyBorder="1" applyAlignment="1">
      <alignment horizontal="center"/>
    </xf>
    <xf numFmtId="0" fontId="22" fillId="0" borderId="16"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22"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0" borderId="25"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40" fillId="0" borderId="1" xfId="0" applyFont="1" applyFill="1" applyBorder="1" applyAlignment="1">
      <alignment horizontal="center" vertical="center"/>
    </xf>
    <xf numFmtId="0" fontId="41" fillId="0" borderId="1" xfId="0" applyFont="1" applyFill="1" applyBorder="1" applyAlignment="1">
      <alignment horizontal="center" vertical="center" wrapText="1"/>
    </xf>
    <xf numFmtId="58" fontId="41"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wrapText="1"/>
    </xf>
    <xf numFmtId="0" fontId="22" fillId="0" borderId="61" xfId="0" applyFont="1" applyFill="1" applyBorder="1" applyAlignment="1">
      <alignment horizontal="center" vertical="center" wrapText="1"/>
    </xf>
    <xf numFmtId="0" fontId="22" fillId="0" borderId="62" xfId="0" applyFont="1" applyFill="1" applyBorder="1" applyAlignment="1">
      <alignment horizontal="center" vertical="center" wrapText="1"/>
    </xf>
    <xf numFmtId="0" fontId="22" fillId="0" borderId="63"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40" fillId="6" borderId="1" xfId="0" applyFont="1" applyFill="1" applyBorder="1" applyAlignment="1">
      <alignment horizontal="center" vertical="center"/>
    </xf>
    <xf numFmtId="180" fontId="40" fillId="6"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39" fillId="6" borderId="0" xfId="0" applyFont="1" applyFill="1" applyBorder="1" applyAlignment="1">
      <alignment horizontal="center" vertical="center"/>
    </xf>
    <xf numFmtId="0" fontId="40" fillId="6" borderId="0" xfId="0" applyFont="1" applyFill="1" applyBorder="1" applyAlignment="1">
      <alignment horizontal="center" vertical="center"/>
    </xf>
    <xf numFmtId="179" fontId="40" fillId="6" borderId="0" xfId="0" applyNumberFormat="1" applyFont="1" applyFill="1" applyBorder="1" applyAlignment="1">
      <alignment horizontal="center" vertical="center"/>
    </xf>
    <xf numFmtId="179" fontId="40" fillId="6" borderId="1" xfId="0" applyNumberFormat="1" applyFont="1" applyFill="1" applyBorder="1" applyAlignment="1">
      <alignment horizontal="center" vertical="center"/>
    </xf>
    <xf numFmtId="0" fontId="41" fillId="7" borderId="20" xfId="0" applyFont="1" applyFill="1" applyBorder="1" applyAlignment="1">
      <alignment horizontal="left" vertical="center"/>
    </xf>
    <xf numFmtId="0" fontId="41" fillId="7" borderId="19" xfId="0" applyFont="1" applyFill="1" applyBorder="1" applyAlignment="1">
      <alignment horizontal="left" vertical="center"/>
    </xf>
    <xf numFmtId="0" fontId="22" fillId="0" borderId="15"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40" fillId="0" borderId="16" xfId="0" applyFont="1" applyFill="1" applyBorder="1" applyAlignment="1">
      <alignment horizontal="center" vertical="center"/>
    </xf>
    <xf numFmtId="0" fontId="40" fillId="0" borderId="2" xfId="0" applyFont="1" applyFill="1" applyBorder="1" applyAlignment="1">
      <alignment horizontal="center" vertical="center"/>
    </xf>
    <xf numFmtId="0" fontId="22" fillId="0" borderId="6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65" xfId="0" applyFont="1" applyFill="1" applyBorder="1" applyAlignment="1">
      <alignment horizontal="center" vertical="center" wrapText="1"/>
    </xf>
    <xf numFmtId="0" fontId="22" fillId="0" borderId="66" xfId="0" applyFont="1" applyFill="1" applyBorder="1" applyAlignment="1">
      <alignment horizontal="center" vertical="center" wrapText="1"/>
    </xf>
    <xf numFmtId="0" fontId="22" fillId="0" borderId="67" xfId="0" applyFont="1" applyFill="1" applyBorder="1" applyAlignment="1">
      <alignment horizontal="center" vertical="center" wrapText="1"/>
    </xf>
    <xf numFmtId="0" fontId="40" fillId="0" borderId="16"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40" fillId="0" borderId="21" xfId="0" applyFont="1" applyFill="1" applyBorder="1" applyAlignment="1">
      <alignment horizontal="center" vertical="center" wrapText="1"/>
    </xf>
  </cellXfs>
  <cellStyles count="40">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5725" y="1352550"/>
          <a:ext cx="800100" cy="90156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2789" y="3334870"/>
          <a:ext cx="676275" cy="81863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43435" y="5609104"/>
          <a:ext cx="609600" cy="67939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175372" y="6781800"/>
          <a:ext cx="600075" cy="62141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1144250"/>
          <a:ext cx="638175" cy="90238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3774392"/>
          <a:ext cx="880749" cy="75495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59577" y="4863353"/>
          <a:ext cx="582252" cy="58638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3155706"/>
          <a:ext cx="533400" cy="6889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7881348"/>
          <a:ext cx="614049" cy="54148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533400</xdr:colOff>
      <xdr:row>1</xdr:row>
      <xdr:rowOff>247651</xdr:rowOff>
    </xdr:from>
    <xdr:to>
      <xdr:col>22</xdr:col>
      <xdr:colOff>571500</xdr:colOff>
      <xdr:row>4</xdr:row>
      <xdr:rowOff>38100</xdr:rowOff>
    </xdr:to>
    <xdr:sp macro="" textlink="">
      <xdr:nvSpPr>
        <xdr:cNvPr id="2" name="矩形 1"/>
        <xdr:cNvSpPr/>
      </xdr:nvSpPr>
      <xdr:spPr>
        <a:xfrm>
          <a:off x="9934575" y="1133476"/>
          <a:ext cx="3552825" cy="971549"/>
        </a:xfrm>
        <a:prstGeom prst="rect">
          <a:avLst/>
        </a:prstGeom>
        <a:noFill/>
        <a:ln>
          <a:noFill/>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en-US" sz="1600" b="1">
              <a:solidFill>
                <a:srgbClr val="0070C0"/>
              </a:solidFill>
              <a:effectLst>
                <a:glow rad="63500">
                  <a:schemeClr val="accent5">
                    <a:satMod val="175000"/>
                    <a:alpha val="40000"/>
                  </a:schemeClr>
                </a:glow>
                <a:outerShdw blurRad="50800" dist="38100" algn="tr" rotWithShape="0">
                  <a:prstClr val="black">
                    <a:alpha val="40000"/>
                  </a:prstClr>
                </a:outerShdw>
              </a:effectLst>
              <a:latin typeface="+mn-lt"/>
              <a:ea typeface="+mn-ea"/>
              <a:cs typeface="+mn-cs"/>
            </a:rPr>
            <a:t>此单门板先开拉手槽，后吸塑详见研发下发工艺文件加工</a:t>
          </a:r>
          <a:endParaRPr lang="zh-CN" sz="1600">
            <a:solidFill>
              <a:srgbClr val="0070C0"/>
            </a:solidFill>
            <a:effectLst>
              <a:glow rad="63500">
                <a:schemeClr val="accent5">
                  <a:satMod val="175000"/>
                  <a:alpha val="40000"/>
                </a:schemeClr>
              </a:glow>
              <a:outerShdw blurRad="50800" dist="38100" algn="tr" rotWithShape="0">
                <a:prstClr val="black">
                  <a:alpha val="40000"/>
                </a:prstClr>
              </a:outerShdw>
            </a:effectLst>
          </a:endParaRPr>
        </a:p>
        <a:p>
          <a:pPr algn="ctr"/>
          <a:endParaRPr lang="zh-CN" altLang="en-US" sz="1100">
            <a:solidFill>
              <a:srgbClr val="00B0F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588;&#20307;&#65288;&#29289;&#26009;&#21464;&#26356;&#21518;&#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Administrator\Desktop\&#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铝材玻璃单"/>
      <sheetName val="领料单"/>
      <sheetName val="交接表"/>
      <sheetName val="Sheet1"/>
      <sheetName val="A6包装"/>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 val="速美包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 xml:space="preserve">S400321599d-11-28-1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3"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01" customWidth="1"/>
    <col min="2" max="2" width="12.625" style="301" bestFit="1" customWidth="1"/>
    <col min="3" max="9" width="9.625" style="301" customWidth="1"/>
    <col min="10" max="256" width="9" style="301"/>
    <col min="257" max="257" width="9.625" style="301" customWidth="1"/>
    <col min="258" max="258" width="12.625" style="301" bestFit="1" customWidth="1"/>
    <col min="259" max="265" width="9.625" style="301" customWidth="1"/>
    <col min="266" max="512" width="9" style="301"/>
    <col min="513" max="513" width="9.625" style="301" customWidth="1"/>
    <col min="514" max="514" width="12.625" style="301" bestFit="1" customWidth="1"/>
    <col min="515" max="521" width="9.625" style="301" customWidth="1"/>
    <col min="522" max="768" width="9" style="301"/>
    <col min="769" max="769" width="9.625" style="301" customWidth="1"/>
    <col min="770" max="770" width="12.625" style="301" bestFit="1" customWidth="1"/>
    <col min="771" max="777" width="9.625" style="301" customWidth="1"/>
    <col min="778" max="1024" width="9" style="301"/>
    <col min="1025" max="1025" width="9.625" style="301" customWidth="1"/>
    <col min="1026" max="1026" width="12.625" style="301" bestFit="1" customWidth="1"/>
    <col min="1027" max="1033" width="9.625" style="301" customWidth="1"/>
    <col min="1034" max="1280" width="9" style="301"/>
    <col min="1281" max="1281" width="9.625" style="301" customWidth="1"/>
    <col min="1282" max="1282" width="12.625" style="301" bestFit="1" customWidth="1"/>
    <col min="1283" max="1289" width="9.625" style="301" customWidth="1"/>
    <col min="1290" max="1536" width="9" style="301"/>
    <col min="1537" max="1537" width="9.625" style="301" customWidth="1"/>
    <col min="1538" max="1538" width="12.625" style="301" bestFit="1" customWidth="1"/>
    <col min="1539" max="1545" width="9.625" style="301" customWidth="1"/>
    <col min="1546" max="1792" width="9" style="301"/>
    <col min="1793" max="1793" width="9.625" style="301" customWidth="1"/>
    <col min="1794" max="1794" width="12.625" style="301" bestFit="1" customWidth="1"/>
    <col min="1795" max="1801" width="9.625" style="301" customWidth="1"/>
    <col min="1802" max="2048" width="9" style="301"/>
    <col min="2049" max="2049" width="9.625" style="301" customWidth="1"/>
    <col min="2050" max="2050" width="12.625" style="301" bestFit="1" customWidth="1"/>
    <col min="2051" max="2057" width="9.625" style="301" customWidth="1"/>
    <col min="2058" max="2304" width="9" style="301"/>
    <col min="2305" max="2305" width="9.625" style="301" customWidth="1"/>
    <col min="2306" max="2306" width="12.625" style="301" bestFit="1" customWidth="1"/>
    <col min="2307" max="2313" width="9.625" style="301" customWidth="1"/>
    <col min="2314" max="2560" width="9" style="301"/>
    <col min="2561" max="2561" width="9.625" style="301" customWidth="1"/>
    <col min="2562" max="2562" width="12.625" style="301" bestFit="1" customWidth="1"/>
    <col min="2563" max="2569" width="9.625" style="301" customWidth="1"/>
    <col min="2570" max="2816" width="9" style="301"/>
    <col min="2817" max="2817" width="9.625" style="301" customWidth="1"/>
    <col min="2818" max="2818" width="12.625" style="301" bestFit="1" customWidth="1"/>
    <col min="2819" max="2825" width="9.625" style="301" customWidth="1"/>
    <col min="2826" max="3072" width="9" style="301"/>
    <col min="3073" max="3073" width="9.625" style="301" customWidth="1"/>
    <col min="3074" max="3074" width="12.625" style="301" bestFit="1" customWidth="1"/>
    <col min="3075" max="3081" width="9.625" style="301" customWidth="1"/>
    <col min="3082" max="3328" width="9" style="301"/>
    <col min="3329" max="3329" width="9.625" style="301" customWidth="1"/>
    <col min="3330" max="3330" width="12.625" style="301" bestFit="1" customWidth="1"/>
    <col min="3331" max="3337" width="9.625" style="301" customWidth="1"/>
    <col min="3338" max="3584" width="9" style="301"/>
    <col min="3585" max="3585" width="9.625" style="301" customWidth="1"/>
    <col min="3586" max="3586" width="12.625" style="301" bestFit="1" customWidth="1"/>
    <col min="3587" max="3593" width="9.625" style="301" customWidth="1"/>
    <col min="3594" max="3840" width="9" style="301"/>
    <col min="3841" max="3841" width="9.625" style="301" customWidth="1"/>
    <col min="3842" max="3842" width="12.625" style="301" bestFit="1" customWidth="1"/>
    <col min="3843" max="3849" width="9.625" style="301" customWidth="1"/>
    <col min="3850" max="4096" width="9" style="301"/>
    <col min="4097" max="4097" width="9.625" style="301" customWidth="1"/>
    <col min="4098" max="4098" width="12.625" style="301" bestFit="1" customWidth="1"/>
    <col min="4099" max="4105" width="9.625" style="301" customWidth="1"/>
    <col min="4106" max="4352" width="9" style="301"/>
    <col min="4353" max="4353" width="9.625" style="301" customWidth="1"/>
    <col min="4354" max="4354" width="12.625" style="301" bestFit="1" customWidth="1"/>
    <col min="4355" max="4361" width="9.625" style="301" customWidth="1"/>
    <col min="4362" max="4608" width="9" style="301"/>
    <col min="4609" max="4609" width="9.625" style="301" customWidth="1"/>
    <col min="4610" max="4610" width="12.625" style="301" bestFit="1" customWidth="1"/>
    <col min="4611" max="4617" width="9.625" style="301" customWidth="1"/>
    <col min="4618" max="4864" width="9" style="301"/>
    <col min="4865" max="4865" width="9.625" style="301" customWidth="1"/>
    <col min="4866" max="4866" width="12.625" style="301" bestFit="1" customWidth="1"/>
    <col min="4867" max="4873" width="9.625" style="301" customWidth="1"/>
    <col min="4874" max="5120" width="9" style="301"/>
    <col min="5121" max="5121" width="9.625" style="301" customWidth="1"/>
    <col min="5122" max="5122" width="12.625" style="301" bestFit="1" customWidth="1"/>
    <col min="5123" max="5129" width="9.625" style="301" customWidth="1"/>
    <col min="5130" max="5376" width="9" style="301"/>
    <col min="5377" max="5377" width="9.625" style="301" customWidth="1"/>
    <col min="5378" max="5378" width="12.625" style="301" bestFit="1" customWidth="1"/>
    <col min="5379" max="5385" width="9.625" style="301" customWidth="1"/>
    <col min="5386" max="5632" width="9" style="301"/>
    <col min="5633" max="5633" width="9.625" style="301" customWidth="1"/>
    <col min="5634" max="5634" width="12.625" style="301" bestFit="1" customWidth="1"/>
    <col min="5635" max="5641" width="9.625" style="301" customWidth="1"/>
    <col min="5642" max="5888" width="9" style="301"/>
    <col min="5889" max="5889" width="9.625" style="301" customWidth="1"/>
    <col min="5890" max="5890" width="12.625" style="301" bestFit="1" customWidth="1"/>
    <col min="5891" max="5897" width="9.625" style="301" customWidth="1"/>
    <col min="5898" max="6144" width="9" style="301"/>
    <col min="6145" max="6145" width="9.625" style="301" customWidth="1"/>
    <col min="6146" max="6146" width="12.625" style="301" bestFit="1" customWidth="1"/>
    <col min="6147" max="6153" width="9.625" style="301" customWidth="1"/>
    <col min="6154" max="6400" width="9" style="301"/>
    <col min="6401" max="6401" width="9.625" style="301" customWidth="1"/>
    <col min="6402" max="6402" width="12.625" style="301" bestFit="1" customWidth="1"/>
    <col min="6403" max="6409" width="9.625" style="301" customWidth="1"/>
    <col min="6410" max="6656" width="9" style="301"/>
    <col min="6657" max="6657" width="9.625" style="301" customWidth="1"/>
    <col min="6658" max="6658" width="12.625" style="301" bestFit="1" customWidth="1"/>
    <col min="6659" max="6665" width="9.625" style="301" customWidth="1"/>
    <col min="6666" max="6912" width="9" style="301"/>
    <col min="6913" max="6913" width="9.625" style="301" customWidth="1"/>
    <col min="6914" max="6914" width="12.625" style="301" bestFit="1" customWidth="1"/>
    <col min="6915" max="6921" width="9.625" style="301" customWidth="1"/>
    <col min="6922" max="7168" width="9" style="301"/>
    <col min="7169" max="7169" width="9.625" style="301" customWidth="1"/>
    <col min="7170" max="7170" width="12.625" style="301" bestFit="1" customWidth="1"/>
    <col min="7171" max="7177" width="9.625" style="301" customWidth="1"/>
    <col min="7178" max="7424" width="9" style="301"/>
    <col min="7425" max="7425" width="9.625" style="301" customWidth="1"/>
    <col min="7426" max="7426" width="12.625" style="301" bestFit="1" customWidth="1"/>
    <col min="7427" max="7433" width="9.625" style="301" customWidth="1"/>
    <col min="7434" max="7680" width="9" style="301"/>
    <col min="7681" max="7681" width="9.625" style="301" customWidth="1"/>
    <col min="7682" max="7682" width="12.625" style="301" bestFit="1" customWidth="1"/>
    <col min="7683" max="7689" width="9.625" style="301" customWidth="1"/>
    <col min="7690" max="7936" width="9" style="301"/>
    <col min="7937" max="7937" width="9.625" style="301" customWidth="1"/>
    <col min="7938" max="7938" width="12.625" style="301" bestFit="1" customWidth="1"/>
    <col min="7939" max="7945" width="9.625" style="301" customWidth="1"/>
    <col min="7946" max="8192" width="9" style="301"/>
    <col min="8193" max="8193" width="9.625" style="301" customWidth="1"/>
    <col min="8194" max="8194" width="12.625" style="301" bestFit="1" customWidth="1"/>
    <col min="8195" max="8201" width="9.625" style="301" customWidth="1"/>
    <col min="8202" max="8448" width="9" style="301"/>
    <col min="8449" max="8449" width="9.625" style="301" customWidth="1"/>
    <col min="8450" max="8450" width="12.625" style="301" bestFit="1" customWidth="1"/>
    <col min="8451" max="8457" width="9.625" style="301" customWidth="1"/>
    <col min="8458" max="8704" width="9" style="301"/>
    <col min="8705" max="8705" width="9.625" style="301" customWidth="1"/>
    <col min="8706" max="8706" width="12.625" style="301" bestFit="1" customWidth="1"/>
    <col min="8707" max="8713" width="9.625" style="301" customWidth="1"/>
    <col min="8714" max="8960" width="9" style="301"/>
    <col min="8961" max="8961" width="9.625" style="301" customWidth="1"/>
    <col min="8962" max="8962" width="12.625" style="301" bestFit="1" customWidth="1"/>
    <col min="8963" max="8969" width="9.625" style="301" customWidth="1"/>
    <col min="8970" max="9216" width="9" style="301"/>
    <col min="9217" max="9217" width="9.625" style="301" customWidth="1"/>
    <col min="9218" max="9218" width="12.625" style="301" bestFit="1" customWidth="1"/>
    <col min="9219" max="9225" width="9.625" style="301" customWidth="1"/>
    <col min="9226" max="9472" width="9" style="301"/>
    <col min="9473" max="9473" width="9.625" style="301" customWidth="1"/>
    <col min="9474" max="9474" width="12.625" style="301" bestFit="1" customWidth="1"/>
    <col min="9475" max="9481" width="9.625" style="301" customWidth="1"/>
    <col min="9482" max="9728" width="9" style="301"/>
    <col min="9729" max="9729" width="9.625" style="301" customWidth="1"/>
    <col min="9730" max="9730" width="12.625" style="301" bestFit="1" customWidth="1"/>
    <col min="9731" max="9737" width="9.625" style="301" customWidth="1"/>
    <col min="9738" max="9984" width="9" style="301"/>
    <col min="9985" max="9985" width="9.625" style="301" customWidth="1"/>
    <col min="9986" max="9986" width="12.625" style="301" bestFit="1" customWidth="1"/>
    <col min="9987" max="9993" width="9.625" style="301" customWidth="1"/>
    <col min="9994" max="10240" width="9" style="301"/>
    <col min="10241" max="10241" width="9.625" style="301" customWidth="1"/>
    <col min="10242" max="10242" width="12.625" style="301" bestFit="1" customWidth="1"/>
    <col min="10243" max="10249" width="9.625" style="301" customWidth="1"/>
    <col min="10250" max="10496" width="9" style="301"/>
    <col min="10497" max="10497" width="9.625" style="301" customWidth="1"/>
    <col min="10498" max="10498" width="12.625" style="301" bestFit="1" customWidth="1"/>
    <col min="10499" max="10505" width="9.625" style="301" customWidth="1"/>
    <col min="10506" max="10752" width="9" style="301"/>
    <col min="10753" max="10753" width="9.625" style="301" customWidth="1"/>
    <col min="10754" max="10754" width="12.625" style="301" bestFit="1" customWidth="1"/>
    <col min="10755" max="10761" width="9.625" style="301" customWidth="1"/>
    <col min="10762" max="11008" width="9" style="301"/>
    <col min="11009" max="11009" width="9.625" style="301" customWidth="1"/>
    <col min="11010" max="11010" width="12.625" style="301" bestFit="1" customWidth="1"/>
    <col min="11011" max="11017" width="9.625" style="301" customWidth="1"/>
    <col min="11018" max="11264" width="9" style="301"/>
    <col min="11265" max="11265" width="9.625" style="301" customWidth="1"/>
    <col min="11266" max="11266" width="12.625" style="301" bestFit="1" customWidth="1"/>
    <col min="11267" max="11273" width="9.625" style="301" customWidth="1"/>
    <col min="11274" max="11520" width="9" style="301"/>
    <col min="11521" max="11521" width="9.625" style="301" customWidth="1"/>
    <col min="11522" max="11522" width="12.625" style="301" bestFit="1" customWidth="1"/>
    <col min="11523" max="11529" width="9.625" style="301" customWidth="1"/>
    <col min="11530" max="11776" width="9" style="301"/>
    <col min="11777" max="11777" width="9.625" style="301" customWidth="1"/>
    <col min="11778" max="11778" width="12.625" style="301" bestFit="1" customWidth="1"/>
    <col min="11779" max="11785" width="9.625" style="301" customWidth="1"/>
    <col min="11786" max="12032" width="9" style="301"/>
    <col min="12033" max="12033" width="9.625" style="301" customWidth="1"/>
    <col min="12034" max="12034" width="12.625" style="301" bestFit="1" customWidth="1"/>
    <col min="12035" max="12041" width="9.625" style="301" customWidth="1"/>
    <col min="12042" max="12288" width="9" style="301"/>
    <col min="12289" max="12289" width="9.625" style="301" customWidth="1"/>
    <col min="12290" max="12290" width="12.625" style="301" bestFit="1" customWidth="1"/>
    <col min="12291" max="12297" width="9.625" style="301" customWidth="1"/>
    <col min="12298" max="12544" width="9" style="301"/>
    <col min="12545" max="12545" width="9.625" style="301" customWidth="1"/>
    <col min="12546" max="12546" width="12.625" style="301" bestFit="1" customWidth="1"/>
    <col min="12547" max="12553" width="9.625" style="301" customWidth="1"/>
    <col min="12554" max="12800" width="9" style="301"/>
    <col min="12801" max="12801" width="9.625" style="301" customWidth="1"/>
    <col min="12802" max="12802" width="12.625" style="301" bestFit="1" customWidth="1"/>
    <col min="12803" max="12809" width="9.625" style="301" customWidth="1"/>
    <col min="12810" max="13056" width="9" style="301"/>
    <col min="13057" max="13057" width="9.625" style="301" customWidth="1"/>
    <col min="13058" max="13058" width="12.625" style="301" bestFit="1" customWidth="1"/>
    <col min="13059" max="13065" width="9.625" style="301" customWidth="1"/>
    <col min="13066" max="13312" width="9" style="301"/>
    <col min="13313" max="13313" width="9.625" style="301" customWidth="1"/>
    <col min="13314" max="13314" width="12.625" style="301" bestFit="1" customWidth="1"/>
    <col min="13315" max="13321" width="9.625" style="301" customWidth="1"/>
    <col min="13322" max="13568" width="9" style="301"/>
    <col min="13569" max="13569" width="9.625" style="301" customWidth="1"/>
    <col min="13570" max="13570" width="12.625" style="301" bestFit="1" customWidth="1"/>
    <col min="13571" max="13577" width="9.625" style="301" customWidth="1"/>
    <col min="13578" max="13824" width="9" style="301"/>
    <col min="13825" max="13825" width="9.625" style="301" customWidth="1"/>
    <col min="13826" max="13826" width="12.625" style="301" bestFit="1" customWidth="1"/>
    <col min="13827" max="13833" width="9.625" style="301" customWidth="1"/>
    <col min="13834" max="14080" width="9" style="301"/>
    <col min="14081" max="14081" width="9.625" style="301" customWidth="1"/>
    <col min="14082" max="14082" width="12.625" style="301" bestFit="1" customWidth="1"/>
    <col min="14083" max="14089" width="9.625" style="301" customWidth="1"/>
    <col min="14090" max="14336" width="9" style="301"/>
    <col min="14337" max="14337" width="9.625" style="301" customWidth="1"/>
    <col min="14338" max="14338" width="12.625" style="301" bestFit="1" customWidth="1"/>
    <col min="14339" max="14345" width="9.625" style="301" customWidth="1"/>
    <col min="14346" max="14592" width="9" style="301"/>
    <col min="14593" max="14593" width="9.625" style="301" customWidth="1"/>
    <col min="14594" max="14594" width="12.625" style="301" bestFit="1" customWidth="1"/>
    <col min="14595" max="14601" width="9.625" style="301" customWidth="1"/>
    <col min="14602" max="14848" width="9" style="301"/>
    <col min="14849" max="14849" width="9.625" style="301" customWidth="1"/>
    <col min="14850" max="14850" width="12.625" style="301" bestFit="1" customWidth="1"/>
    <col min="14851" max="14857" width="9.625" style="301" customWidth="1"/>
    <col min="14858" max="15104" width="9" style="301"/>
    <col min="15105" max="15105" width="9.625" style="301" customWidth="1"/>
    <col min="15106" max="15106" width="12.625" style="301" bestFit="1" customWidth="1"/>
    <col min="15107" max="15113" width="9.625" style="301" customWidth="1"/>
    <col min="15114" max="15360" width="9" style="301"/>
    <col min="15361" max="15361" width="9.625" style="301" customWidth="1"/>
    <col min="15362" max="15362" width="12.625" style="301" bestFit="1" customWidth="1"/>
    <col min="15363" max="15369" width="9.625" style="301" customWidth="1"/>
    <col min="15370" max="15616" width="9" style="301"/>
    <col min="15617" max="15617" width="9.625" style="301" customWidth="1"/>
    <col min="15618" max="15618" width="12.625" style="301" bestFit="1" customWidth="1"/>
    <col min="15619" max="15625" width="9.625" style="301" customWidth="1"/>
    <col min="15626" max="15872" width="9" style="301"/>
    <col min="15873" max="15873" width="9.625" style="301" customWidth="1"/>
    <col min="15874" max="15874" width="12.625" style="301" bestFit="1" customWidth="1"/>
    <col min="15875" max="15881" width="9.625" style="301" customWidth="1"/>
    <col min="15882" max="16128" width="9" style="301"/>
    <col min="16129" max="16129" width="9.625" style="301" customWidth="1"/>
    <col min="16130" max="16130" width="12.625" style="301" bestFit="1" customWidth="1"/>
    <col min="16131" max="16137" width="9.625" style="301" customWidth="1"/>
    <col min="16138" max="16384" width="9" style="301"/>
  </cols>
  <sheetData>
    <row r="1" spans="1:9" ht="18" customHeight="1">
      <c r="A1" s="860" t="s">
        <v>854</v>
      </c>
      <c r="B1" s="861"/>
      <c r="C1" s="861"/>
      <c r="D1" s="861"/>
      <c r="E1" s="861"/>
      <c r="F1" s="861"/>
      <c r="G1" s="861"/>
      <c r="H1" s="861"/>
      <c r="I1" s="861"/>
    </row>
    <row r="2" spans="1:9" ht="17.100000000000001" customHeight="1">
      <c r="G2" s="302" t="s">
        <v>783</v>
      </c>
      <c r="I2" s="301" t="s">
        <v>784</v>
      </c>
    </row>
    <row r="3" spans="1:9" ht="17.100000000000001" customHeight="1">
      <c r="A3" s="303" t="s">
        <v>785</v>
      </c>
      <c r="B3" s="858" t="e">
        <f>'作(4)'!C4</f>
        <v>#REF!</v>
      </c>
      <c r="C3" s="858"/>
      <c r="D3" s="303" t="s">
        <v>786</v>
      </c>
      <c r="E3" s="858" t="e">
        <f>'作(4)'!C5</f>
        <v>#REF!</v>
      </c>
      <c r="F3" s="858"/>
      <c r="G3" s="303" t="s">
        <v>787</v>
      </c>
      <c r="H3" s="862">
        <f ca="1">TODAY()</f>
        <v>42991</v>
      </c>
      <c r="I3" s="858"/>
    </row>
    <row r="4" spans="1:9" ht="17.100000000000001" customHeight="1">
      <c r="A4" s="303" t="s">
        <v>788</v>
      </c>
      <c r="B4" s="858" t="s">
        <v>789</v>
      </c>
      <c r="C4" s="858"/>
      <c r="D4" s="303" t="s">
        <v>790</v>
      </c>
      <c r="E4" s="858">
        <f>'作(4)'!F6</f>
        <v>0</v>
      </c>
      <c r="F4" s="858"/>
      <c r="G4" s="303" t="s">
        <v>791</v>
      </c>
      <c r="H4" s="858"/>
      <c r="I4" s="858"/>
    </row>
    <row r="5" spans="1:9" ht="17.100000000000001" customHeight="1">
      <c r="A5" s="303" t="s">
        <v>792</v>
      </c>
      <c r="B5" s="858" t="e">
        <f>#REF!</f>
        <v>#REF!</v>
      </c>
      <c r="C5" s="858"/>
      <c r="D5" s="303" t="s">
        <v>793</v>
      </c>
      <c r="E5" s="858"/>
      <c r="F5" s="858"/>
      <c r="G5" s="303" t="s">
        <v>794</v>
      </c>
      <c r="H5" s="858" t="e">
        <f>'作(4)'!K5</f>
        <v>#REF!</v>
      </c>
      <c r="I5" s="858"/>
    </row>
    <row r="6" spans="1:9" ht="17.100000000000001" customHeight="1">
      <c r="A6" s="304" t="s">
        <v>795</v>
      </c>
      <c r="B6" s="303" t="s">
        <v>796</v>
      </c>
      <c r="C6" s="303" t="s">
        <v>797</v>
      </c>
      <c r="D6" s="303" t="s">
        <v>798</v>
      </c>
      <c r="E6" s="303" t="s">
        <v>799</v>
      </c>
      <c r="F6" s="303" t="s">
        <v>800</v>
      </c>
      <c r="G6" s="303" t="s">
        <v>801</v>
      </c>
      <c r="H6" s="858"/>
      <c r="I6" s="858"/>
    </row>
    <row r="7" spans="1:9" ht="17.100000000000001" customHeight="1">
      <c r="A7" s="304" t="s">
        <v>802</v>
      </c>
      <c r="B7" s="304" t="s">
        <v>803</v>
      </c>
      <c r="C7" s="304" t="s">
        <v>804</v>
      </c>
      <c r="D7" s="303" t="s">
        <v>805</v>
      </c>
      <c r="E7" s="303" t="s">
        <v>806</v>
      </c>
      <c r="F7" s="304" t="s">
        <v>807</v>
      </c>
      <c r="G7" s="304" t="s">
        <v>808</v>
      </c>
      <c r="H7" s="859" t="s">
        <v>809</v>
      </c>
      <c r="I7" s="859"/>
    </row>
    <row r="8" spans="1:9" ht="17.100000000000001" customHeight="1">
      <c r="A8" s="304">
        <v>1</v>
      </c>
      <c r="B8" s="304" t="s">
        <v>810</v>
      </c>
      <c r="C8" s="305" t="str">
        <f>'作(4)'!K4</f>
        <v>0块</v>
      </c>
      <c r="D8" s="304"/>
      <c r="E8" s="304"/>
      <c r="F8" s="304"/>
      <c r="G8" s="304"/>
      <c r="H8" s="858"/>
      <c r="I8" s="858"/>
    </row>
    <row r="9" spans="1:9" ht="17.100000000000001" customHeight="1">
      <c r="A9" s="304">
        <v>2</v>
      </c>
      <c r="B9" s="304" t="s">
        <v>811</v>
      </c>
      <c r="C9" s="305"/>
      <c r="D9" s="304"/>
      <c r="E9" s="304"/>
      <c r="F9" s="304"/>
      <c r="G9" s="304"/>
      <c r="H9" s="858"/>
      <c r="I9" s="858"/>
    </row>
    <row r="10" spans="1:9" ht="17.100000000000001" customHeight="1">
      <c r="A10" s="304">
        <v>3</v>
      </c>
      <c r="B10" s="304" t="s">
        <v>812</v>
      </c>
      <c r="C10" s="305" t="str">
        <f>C8</f>
        <v>0块</v>
      </c>
      <c r="D10" s="304"/>
      <c r="E10" s="304"/>
      <c r="F10" s="304"/>
      <c r="G10" s="304"/>
      <c r="H10" s="858"/>
      <c r="I10" s="858"/>
    </row>
    <row r="11" spans="1:9" ht="17.100000000000001" customHeight="1">
      <c r="A11" s="304">
        <v>4</v>
      </c>
      <c r="B11" s="304" t="s">
        <v>813</v>
      </c>
      <c r="C11" s="305"/>
      <c r="D11" s="304"/>
      <c r="E11" s="304"/>
      <c r="F11" s="304"/>
      <c r="G11" s="304"/>
      <c r="H11" s="858"/>
      <c r="I11" s="858"/>
    </row>
    <row r="12" spans="1:9" ht="17.100000000000001" customHeight="1">
      <c r="A12" s="304">
        <v>5</v>
      </c>
      <c r="B12" s="304" t="s">
        <v>814</v>
      </c>
      <c r="C12" s="305"/>
      <c r="D12" s="304"/>
      <c r="E12" s="304"/>
      <c r="F12" s="304"/>
      <c r="G12" s="304"/>
      <c r="H12" s="858"/>
      <c r="I12" s="858"/>
    </row>
    <row r="13" spans="1:9" ht="17.100000000000001" customHeight="1">
      <c r="A13" s="304">
        <v>6</v>
      </c>
      <c r="B13" s="304" t="s">
        <v>815</v>
      </c>
      <c r="C13" s="305"/>
      <c r="D13" s="304"/>
      <c r="E13" s="304"/>
      <c r="F13" s="304"/>
      <c r="G13" s="304"/>
      <c r="H13" s="858"/>
      <c r="I13" s="858"/>
    </row>
    <row r="14" spans="1:9" ht="17.100000000000001" customHeight="1">
      <c r="A14" s="304">
        <v>7</v>
      </c>
      <c r="B14" s="304" t="s">
        <v>816</v>
      </c>
      <c r="C14" s="305"/>
      <c r="D14" s="304"/>
      <c r="E14" s="304"/>
      <c r="F14" s="304"/>
      <c r="G14" s="304"/>
      <c r="H14" s="858"/>
      <c r="I14" s="858"/>
    </row>
    <row r="15" spans="1:9" ht="17.100000000000001" customHeight="1">
      <c r="A15" s="304">
        <v>8</v>
      </c>
      <c r="B15" s="304" t="s">
        <v>817</v>
      </c>
      <c r="C15" s="305"/>
      <c r="D15" s="304"/>
      <c r="E15" s="304"/>
      <c r="F15" s="304"/>
      <c r="G15" s="304"/>
      <c r="H15" s="858"/>
      <c r="I15" s="858"/>
    </row>
    <row r="16" spans="1:9" ht="17.100000000000001" customHeight="1">
      <c r="A16" s="304">
        <v>9</v>
      </c>
      <c r="B16" s="304" t="s">
        <v>818</v>
      </c>
      <c r="C16" s="305"/>
      <c r="D16" s="304"/>
      <c r="E16" s="305"/>
      <c r="F16" s="304"/>
      <c r="G16" s="304"/>
      <c r="H16" s="858"/>
      <c r="I16" s="858"/>
    </row>
    <row r="17" spans="1:9" ht="17.100000000000001" customHeight="1">
      <c r="A17" s="304">
        <v>10</v>
      </c>
      <c r="B17" s="304" t="s">
        <v>819</v>
      </c>
      <c r="C17" s="305"/>
      <c r="D17" s="304"/>
      <c r="E17" s="304"/>
      <c r="F17" s="304"/>
      <c r="G17" s="304"/>
      <c r="H17" s="858"/>
      <c r="I17" s="858"/>
    </row>
    <row r="18" spans="1:9" ht="17.100000000000001" customHeight="1">
      <c r="A18" s="304">
        <v>11</v>
      </c>
      <c r="B18" s="304" t="s">
        <v>820</v>
      </c>
      <c r="C18" s="305"/>
      <c r="D18" s="304"/>
      <c r="E18" s="304"/>
      <c r="F18" s="304"/>
      <c r="G18" s="304"/>
      <c r="H18" s="858"/>
      <c r="I18" s="858"/>
    </row>
    <row r="19" spans="1:9" ht="17.100000000000001" customHeight="1">
      <c r="A19" s="304">
        <v>12</v>
      </c>
      <c r="B19" s="304" t="s">
        <v>821</v>
      </c>
      <c r="C19" s="305"/>
      <c r="D19" s="304"/>
      <c r="E19" s="304"/>
      <c r="F19" s="304"/>
      <c r="G19" s="304"/>
      <c r="H19" s="858"/>
      <c r="I19" s="858"/>
    </row>
    <row r="20" spans="1:9" ht="17.100000000000001" customHeight="1">
      <c r="A20" s="304">
        <v>13</v>
      </c>
      <c r="B20" s="304" t="s">
        <v>822</v>
      </c>
      <c r="C20" s="305"/>
      <c r="D20" s="304"/>
      <c r="E20" s="304"/>
      <c r="F20" s="304"/>
      <c r="G20" s="304"/>
      <c r="H20" s="858"/>
      <c r="I20" s="858"/>
    </row>
    <row r="21" spans="1:9" ht="17.100000000000001" customHeight="1">
      <c r="A21" s="304">
        <v>14</v>
      </c>
      <c r="B21" s="304" t="s">
        <v>823</v>
      </c>
      <c r="C21" s="305"/>
      <c r="D21" s="304"/>
      <c r="E21" s="304"/>
      <c r="F21" s="304"/>
      <c r="G21" s="304"/>
      <c r="H21" s="858"/>
      <c r="I21" s="858"/>
    </row>
    <row r="22" spans="1:9" ht="17.100000000000001" customHeight="1">
      <c r="A22" s="304">
        <v>15</v>
      </c>
      <c r="B22" s="304" t="s">
        <v>824</v>
      </c>
      <c r="C22" s="305"/>
      <c r="D22" s="304"/>
      <c r="E22" s="304"/>
      <c r="F22" s="304"/>
      <c r="G22" s="304"/>
      <c r="H22" s="858"/>
      <c r="I22" s="858"/>
    </row>
    <row r="23" spans="1:9" ht="17.100000000000001" customHeight="1">
      <c r="A23" s="304">
        <v>16</v>
      </c>
      <c r="B23" s="304" t="s">
        <v>825</v>
      </c>
      <c r="C23" s="305"/>
      <c r="D23" s="304"/>
      <c r="E23" s="304"/>
      <c r="F23" s="304"/>
      <c r="G23" s="304"/>
      <c r="H23" s="858"/>
      <c r="I23" s="858"/>
    </row>
    <row r="24" spans="1:9" ht="17.100000000000001" customHeight="1">
      <c r="A24" s="304">
        <v>17</v>
      </c>
      <c r="B24" s="304" t="s">
        <v>826</v>
      </c>
      <c r="C24" s="305"/>
      <c r="D24" s="304"/>
      <c r="E24" s="304"/>
      <c r="F24" s="304"/>
      <c r="G24" s="304"/>
      <c r="H24" s="858"/>
      <c r="I24" s="858"/>
    </row>
    <row r="25" spans="1:9" ht="17.100000000000001" customHeight="1">
      <c r="A25" s="304">
        <v>18</v>
      </c>
      <c r="B25" s="304" t="s">
        <v>827</v>
      </c>
      <c r="C25" s="305" t="str">
        <f>C8</f>
        <v>0块</v>
      </c>
      <c r="D25" s="304"/>
      <c r="E25" s="304"/>
      <c r="F25" s="304"/>
      <c r="G25" s="304"/>
      <c r="H25" s="858"/>
      <c r="I25" s="858"/>
    </row>
    <row r="26" spans="1:9" ht="17.100000000000001" customHeight="1">
      <c r="A26" s="304">
        <v>19</v>
      </c>
      <c r="B26" s="304" t="s">
        <v>828</v>
      </c>
      <c r="C26" s="305" t="str">
        <f t="shared" ref="C26:C35" si="0">C25</f>
        <v>0块</v>
      </c>
      <c r="D26" s="304"/>
      <c r="E26" s="304"/>
      <c r="F26" s="304"/>
      <c r="G26" s="304"/>
      <c r="H26" s="858"/>
      <c r="I26" s="858"/>
    </row>
    <row r="27" spans="1:9" ht="17.100000000000001" customHeight="1">
      <c r="A27" s="304">
        <v>20</v>
      </c>
      <c r="B27" s="304" t="s">
        <v>829</v>
      </c>
      <c r="C27" s="305" t="str">
        <f t="shared" si="0"/>
        <v>0块</v>
      </c>
      <c r="D27" s="304"/>
      <c r="E27" s="304"/>
      <c r="F27" s="304"/>
      <c r="G27" s="304"/>
      <c r="H27" s="858"/>
      <c r="I27" s="858"/>
    </row>
    <row r="28" spans="1:9" ht="17.100000000000001" customHeight="1">
      <c r="A28" s="304">
        <v>21</v>
      </c>
      <c r="B28" s="304" t="s">
        <v>830</v>
      </c>
      <c r="C28" s="305" t="str">
        <f t="shared" si="0"/>
        <v>0块</v>
      </c>
      <c r="D28" s="304"/>
      <c r="E28" s="304"/>
      <c r="F28" s="304"/>
      <c r="G28" s="304"/>
      <c r="H28" s="858"/>
      <c r="I28" s="858"/>
    </row>
    <row r="29" spans="1:9" ht="17.100000000000001" customHeight="1">
      <c r="A29" s="304">
        <v>22</v>
      </c>
      <c r="B29" s="304" t="s">
        <v>831</v>
      </c>
      <c r="C29" s="305" t="str">
        <f t="shared" si="0"/>
        <v>0块</v>
      </c>
      <c r="D29" s="304"/>
      <c r="E29" s="304"/>
      <c r="F29" s="304"/>
      <c r="G29" s="304"/>
      <c r="H29" s="858"/>
      <c r="I29" s="858"/>
    </row>
    <row r="30" spans="1:9" ht="17.100000000000001" customHeight="1">
      <c r="A30" s="304">
        <v>23</v>
      </c>
      <c r="B30" s="304" t="s">
        <v>832</v>
      </c>
      <c r="C30" s="305" t="str">
        <f t="shared" si="0"/>
        <v>0块</v>
      </c>
      <c r="D30" s="304"/>
      <c r="E30" s="304"/>
      <c r="F30" s="304"/>
      <c r="G30" s="304"/>
      <c r="H30" s="858"/>
      <c r="I30" s="858"/>
    </row>
    <row r="31" spans="1:9" ht="17.100000000000001" customHeight="1">
      <c r="A31" s="304">
        <v>24</v>
      </c>
      <c r="B31" s="304" t="s">
        <v>833</v>
      </c>
      <c r="C31" s="305" t="str">
        <f t="shared" si="0"/>
        <v>0块</v>
      </c>
      <c r="D31" s="304"/>
      <c r="E31" s="304"/>
      <c r="F31" s="304"/>
      <c r="G31" s="304"/>
      <c r="H31" s="858"/>
      <c r="I31" s="858"/>
    </row>
    <row r="32" spans="1:9" ht="17.100000000000001" customHeight="1">
      <c r="A32" s="304">
        <v>25</v>
      </c>
      <c r="B32" s="304" t="s">
        <v>834</v>
      </c>
      <c r="C32" s="305" t="str">
        <f t="shared" si="0"/>
        <v>0块</v>
      </c>
      <c r="D32" s="304"/>
      <c r="E32" s="304"/>
      <c r="F32" s="304"/>
      <c r="G32" s="304"/>
      <c r="H32" s="858"/>
      <c r="I32" s="858"/>
    </row>
    <row r="33" spans="1:9" ht="17.100000000000001" customHeight="1">
      <c r="A33" s="304">
        <v>26</v>
      </c>
      <c r="B33" s="304" t="s">
        <v>835</v>
      </c>
      <c r="C33" s="304" t="str">
        <f t="shared" si="0"/>
        <v>0块</v>
      </c>
      <c r="D33" s="304"/>
      <c r="E33" s="304"/>
      <c r="F33" s="304"/>
      <c r="G33" s="304"/>
      <c r="H33" s="858"/>
      <c r="I33" s="858"/>
    </row>
    <row r="34" spans="1:9" ht="17.100000000000001" customHeight="1">
      <c r="A34" s="304">
        <v>27</v>
      </c>
      <c r="B34" s="304" t="s">
        <v>836</v>
      </c>
      <c r="C34" s="304" t="str">
        <f t="shared" si="0"/>
        <v>0块</v>
      </c>
      <c r="D34" s="304"/>
      <c r="E34" s="304"/>
      <c r="F34" s="304"/>
      <c r="G34" s="304"/>
      <c r="H34" s="858"/>
      <c r="I34" s="858"/>
    </row>
    <row r="35" spans="1:9" ht="17.100000000000001" customHeight="1">
      <c r="A35" s="304">
        <v>28</v>
      </c>
      <c r="B35" s="304" t="s">
        <v>837</v>
      </c>
      <c r="C35" s="304" t="str">
        <f t="shared" si="0"/>
        <v>0块</v>
      </c>
      <c r="D35" s="304"/>
      <c r="E35" s="304"/>
      <c r="F35" s="304"/>
      <c r="G35" s="304"/>
      <c r="H35" s="858"/>
      <c r="I35" s="858"/>
    </row>
    <row r="36" spans="1:9" ht="17.100000000000001" customHeight="1">
      <c r="A36" s="304">
        <v>29</v>
      </c>
      <c r="B36" s="304" t="s">
        <v>838</v>
      </c>
      <c r="C36" s="304"/>
      <c r="D36" s="304"/>
      <c r="E36" s="304"/>
      <c r="F36" s="304"/>
      <c r="G36" s="304"/>
      <c r="H36" s="858"/>
      <c r="I36" s="858"/>
    </row>
    <row r="37" spans="1:9" ht="17.100000000000001" customHeight="1">
      <c r="A37" s="304">
        <v>30</v>
      </c>
      <c r="B37" s="304" t="s">
        <v>839</v>
      </c>
      <c r="C37" s="304"/>
      <c r="D37" s="304"/>
      <c r="E37" s="304"/>
      <c r="F37" s="304"/>
      <c r="G37" s="304"/>
      <c r="H37" s="858"/>
      <c r="I37" s="858"/>
    </row>
    <row r="38" spans="1:9" ht="17.100000000000001" customHeight="1">
      <c r="A38" s="304">
        <v>31</v>
      </c>
      <c r="B38" s="304" t="s">
        <v>840</v>
      </c>
      <c r="C38" s="304"/>
      <c r="D38" s="304"/>
      <c r="E38" s="304"/>
      <c r="F38" s="304"/>
      <c r="G38" s="304"/>
      <c r="H38" s="858"/>
      <c r="I38" s="858"/>
    </row>
    <row r="39" spans="1:9" ht="17.100000000000001" customHeight="1">
      <c r="A39" s="304">
        <v>32</v>
      </c>
      <c r="B39" s="304" t="s">
        <v>841</v>
      </c>
      <c r="C39" s="304"/>
      <c r="D39" s="304"/>
      <c r="E39" s="304"/>
      <c r="F39" s="304"/>
      <c r="G39" s="304"/>
      <c r="H39" s="858"/>
      <c r="I39" s="858"/>
    </row>
    <row r="40" spans="1:9" ht="17.100000000000001" customHeight="1">
      <c r="A40" s="304">
        <v>33</v>
      </c>
      <c r="B40" s="304" t="s">
        <v>842</v>
      </c>
      <c r="C40" s="304"/>
      <c r="D40" s="304"/>
      <c r="E40" s="304"/>
      <c r="F40" s="304"/>
      <c r="G40" s="304"/>
      <c r="H40" s="858"/>
      <c r="I40" s="858"/>
    </row>
    <row r="41" spans="1:9" ht="17.100000000000001" customHeight="1">
      <c r="A41" s="304">
        <v>34</v>
      </c>
      <c r="B41" s="304" t="s">
        <v>843</v>
      </c>
      <c r="C41" s="304"/>
      <c r="D41" s="304"/>
      <c r="E41" s="304"/>
      <c r="F41" s="304"/>
      <c r="G41" s="304"/>
      <c r="H41" s="858"/>
      <c r="I41" s="858"/>
    </row>
    <row r="42" spans="1:9" ht="17.100000000000001" customHeight="1">
      <c r="A42" s="304">
        <v>35</v>
      </c>
      <c r="B42" s="304" t="s">
        <v>844</v>
      </c>
      <c r="C42" s="304"/>
      <c r="D42" s="304"/>
      <c r="E42" s="304"/>
      <c r="F42" s="304"/>
      <c r="G42" s="304"/>
      <c r="H42" s="858"/>
      <c r="I42" s="858"/>
    </row>
    <row r="43" spans="1:9" ht="17.100000000000001" customHeight="1">
      <c r="A43" s="304">
        <v>36</v>
      </c>
      <c r="B43" s="304" t="s">
        <v>845</v>
      </c>
      <c r="C43" s="304"/>
      <c r="D43" s="304"/>
      <c r="E43" s="304"/>
      <c r="F43" s="304"/>
      <c r="G43" s="304"/>
      <c r="H43" s="858"/>
      <c r="I43" s="858"/>
    </row>
    <row r="44" spans="1:9" ht="17.100000000000001" customHeight="1">
      <c r="A44" s="304">
        <v>37</v>
      </c>
      <c r="B44" s="304" t="s">
        <v>846</v>
      </c>
      <c r="C44" s="304"/>
      <c r="D44" s="304"/>
      <c r="E44" s="304"/>
      <c r="F44" s="304"/>
      <c r="G44" s="304"/>
      <c r="H44" s="858"/>
      <c r="I44" s="858"/>
    </row>
    <row r="45" spans="1:9" ht="17.100000000000001" customHeight="1">
      <c r="A45" s="304">
        <v>38</v>
      </c>
      <c r="B45" s="304" t="s">
        <v>847</v>
      </c>
      <c r="C45" s="304"/>
      <c r="D45" s="304"/>
      <c r="E45" s="304"/>
      <c r="F45" s="304"/>
      <c r="G45" s="304"/>
      <c r="H45" s="858"/>
      <c r="I45" s="858"/>
    </row>
    <row r="46" spans="1:9" ht="17.100000000000001" customHeight="1">
      <c r="A46" s="304">
        <v>39</v>
      </c>
      <c r="B46" s="304" t="s">
        <v>848</v>
      </c>
      <c r="C46" s="304"/>
      <c r="D46" s="304"/>
      <c r="E46" s="304"/>
      <c r="F46" s="304"/>
      <c r="G46" s="304"/>
      <c r="H46" s="858"/>
      <c r="I46" s="858"/>
    </row>
    <row r="47" spans="1:9" ht="17.100000000000001" customHeight="1">
      <c r="A47" s="306"/>
      <c r="B47" s="302" t="s">
        <v>849</v>
      </c>
      <c r="C47" s="309" t="s">
        <v>1121</v>
      </c>
      <c r="D47" s="308"/>
      <c r="E47" s="307" t="s">
        <v>850</v>
      </c>
      <c r="F47" s="306"/>
      <c r="G47" s="306"/>
      <c r="H47" s="306"/>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1.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182" customWidth="1"/>
    <col min="2" max="2" width="6.25" style="182" customWidth="1"/>
    <col min="3" max="3" width="6.375" style="182" customWidth="1"/>
    <col min="4" max="4" width="5.375" style="182" customWidth="1"/>
    <col min="5" max="5" width="5.875" style="182" customWidth="1"/>
    <col min="6" max="6" width="6.375" style="182" customWidth="1"/>
    <col min="7" max="7" width="5.75" style="182" customWidth="1"/>
    <col min="8" max="8" width="11.875" style="182" customWidth="1"/>
    <col min="9" max="9" width="8.5" style="182" customWidth="1"/>
    <col min="10" max="10" width="9" style="182"/>
    <col min="11" max="11" width="12.25" style="182" customWidth="1"/>
    <col min="12" max="12" width="11.625" style="183" bestFit="1" customWidth="1"/>
    <col min="13" max="13" width="11.625" style="184" customWidth="1"/>
    <col min="14" max="14" width="7.875" style="184" customWidth="1"/>
    <col min="15" max="17" width="7.75" style="184" customWidth="1"/>
    <col min="18" max="18" width="14.125" style="184" customWidth="1"/>
    <col min="19" max="38" width="9" style="185"/>
    <col min="39" max="256" width="9" style="182"/>
    <col min="257" max="257" width="8.125" style="182" customWidth="1"/>
    <col min="258" max="258" width="6.25" style="182" customWidth="1"/>
    <col min="259" max="259" width="6.375" style="182" customWidth="1"/>
    <col min="260" max="260" width="5.375" style="182" customWidth="1"/>
    <col min="261" max="261" width="5.875" style="182" customWidth="1"/>
    <col min="262" max="262" width="6.375" style="182" customWidth="1"/>
    <col min="263" max="263" width="5.75" style="182" customWidth="1"/>
    <col min="264" max="264" width="11.875" style="182" customWidth="1"/>
    <col min="265" max="265" width="8.5" style="182" customWidth="1"/>
    <col min="266" max="266" width="9" style="182"/>
    <col min="267" max="267" width="12.25" style="182" customWidth="1"/>
    <col min="268" max="268" width="11.625" style="182" bestFit="1" customWidth="1"/>
    <col min="269" max="269" width="11.625" style="182" customWidth="1"/>
    <col min="270" max="270" width="7.875" style="182" customWidth="1"/>
    <col min="271" max="273" width="7.75" style="182" customWidth="1"/>
    <col min="274" max="274" width="14.125" style="182" customWidth="1"/>
    <col min="275" max="512" width="9" style="182"/>
    <col min="513" max="513" width="8.125" style="182" customWidth="1"/>
    <col min="514" max="514" width="6.25" style="182" customWidth="1"/>
    <col min="515" max="515" width="6.375" style="182" customWidth="1"/>
    <col min="516" max="516" width="5.375" style="182" customWidth="1"/>
    <col min="517" max="517" width="5.875" style="182" customWidth="1"/>
    <col min="518" max="518" width="6.375" style="182" customWidth="1"/>
    <col min="519" max="519" width="5.75" style="182" customWidth="1"/>
    <col min="520" max="520" width="11.875" style="182" customWidth="1"/>
    <col min="521" max="521" width="8.5" style="182" customWidth="1"/>
    <col min="522" max="522" width="9" style="182"/>
    <col min="523" max="523" width="12.25" style="182" customWidth="1"/>
    <col min="524" max="524" width="11.625" style="182" bestFit="1" customWidth="1"/>
    <col min="525" max="525" width="11.625" style="182" customWidth="1"/>
    <col min="526" max="526" width="7.875" style="182" customWidth="1"/>
    <col min="527" max="529" width="7.75" style="182" customWidth="1"/>
    <col min="530" max="530" width="14.125" style="182" customWidth="1"/>
    <col min="531" max="768" width="9" style="182"/>
    <col min="769" max="769" width="8.125" style="182" customWidth="1"/>
    <col min="770" max="770" width="6.25" style="182" customWidth="1"/>
    <col min="771" max="771" width="6.375" style="182" customWidth="1"/>
    <col min="772" max="772" width="5.375" style="182" customWidth="1"/>
    <col min="773" max="773" width="5.875" style="182" customWidth="1"/>
    <col min="774" max="774" width="6.375" style="182" customWidth="1"/>
    <col min="775" max="775" width="5.75" style="182" customWidth="1"/>
    <col min="776" max="776" width="11.875" style="182" customWidth="1"/>
    <col min="777" max="777" width="8.5" style="182" customWidth="1"/>
    <col min="778" max="778" width="9" style="182"/>
    <col min="779" max="779" width="12.25" style="182" customWidth="1"/>
    <col min="780" max="780" width="11.625" style="182" bestFit="1" customWidth="1"/>
    <col min="781" max="781" width="11.625" style="182" customWidth="1"/>
    <col min="782" max="782" width="7.875" style="182" customWidth="1"/>
    <col min="783" max="785" width="7.75" style="182" customWidth="1"/>
    <col min="786" max="786" width="14.125" style="182" customWidth="1"/>
    <col min="787" max="1024" width="9" style="182"/>
    <col min="1025" max="1025" width="8.125" style="182" customWidth="1"/>
    <col min="1026" max="1026" width="6.25" style="182" customWidth="1"/>
    <col min="1027" max="1027" width="6.375" style="182" customWidth="1"/>
    <col min="1028" max="1028" width="5.375" style="182" customWidth="1"/>
    <col min="1029" max="1029" width="5.875" style="182" customWidth="1"/>
    <col min="1030" max="1030" width="6.375" style="182" customWidth="1"/>
    <col min="1031" max="1031" width="5.75" style="182" customWidth="1"/>
    <col min="1032" max="1032" width="11.875" style="182" customWidth="1"/>
    <col min="1033" max="1033" width="8.5" style="182" customWidth="1"/>
    <col min="1034" max="1034" width="9" style="182"/>
    <col min="1035" max="1035" width="12.25" style="182" customWidth="1"/>
    <col min="1036" max="1036" width="11.625" style="182" bestFit="1" customWidth="1"/>
    <col min="1037" max="1037" width="11.625" style="182" customWidth="1"/>
    <col min="1038" max="1038" width="7.875" style="182" customWidth="1"/>
    <col min="1039" max="1041" width="7.75" style="182" customWidth="1"/>
    <col min="1042" max="1042" width="14.125" style="182" customWidth="1"/>
    <col min="1043" max="1280" width="9" style="182"/>
    <col min="1281" max="1281" width="8.125" style="182" customWidth="1"/>
    <col min="1282" max="1282" width="6.25" style="182" customWidth="1"/>
    <col min="1283" max="1283" width="6.375" style="182" customWidth="1"/>
    <col min="1284" max="1284" width="5.375" style="182" customWidth="1"/>
    <col min="1285" max="1285" width="5.875" style="182" customWidth="1"/>
    <col min="1286" max="1286" width="6.375" style="182" customWidth="1"/>
    <col min="1287" max="1287" width="5.75" style="182" customWidth="1"/>
    <col min="1288" max="1288" width="11.875" style="182" customWidth="1"/>
    <col min="1289" max="1289" width="8.5" style="182" customWidth="1"/>
    <col min="1290" max="1290" width="9" style="182"/>
    <col min="1291" max="1291" width="12.25" style="182" customWidth="1"/>
    <col min="1292" max="1292" width="11.625" style="182" bestFit="1" customWidth="1"/>
    <col min="1293" max="1293" width="11.625" style="182" customWidth="1"/>
    <col min="1294" max="1294" width="7.875" style="182" customWidth="1"/>
    <col min="1295" max="1297" width="7.75" style="182" customWidth="1"/>
    <col min="1298" max="1298" width="14.125" style="182" customWidth="1"/>
    <col min="1299" max="1536" width="9" style="182"/>
    <col min="1537" max="1537" width="8.125" style="182" customWidth="1"/>
    <col min="1538" max="1538" width="6.25" style="182" customWidth="1"/>
    <col min="1539" max="1539" width="6.375" style="182" customWidth="1"/>
    <col min="1540" max="1540" width="5.375" style="182" customWidth="1"/>
    <col min="1541" max="1541" width="5.875" style="182" customWidth="1"/>
    <col min="1542" max="1542" width="6.375" style="182" customWidth="1"/>
    <col min="1543" max="1543" width="5.75" style="182" customWidth="1"/>
    <col min="1544" max="1544" width="11.875" style="182" customWidth="1"/>
    <col min="1545" max="1545" width="8.5" style="182" customWidth="1"/>
    <col min="1546" max="1546" width="9" style="182"/>
    <col min="1547" max="1547" width="12.25" style="182" customWidth="1"/>
    <col min="1548" max="1548" width="11.625" style="182" bestFit="1" customWidth="1"/>
    <col min="1549" max="1549" width="11.625" style="182" customWidth="1"/>
    <col min="1550" max="1550" width="7.875" style="182" customWidth="1"/>
    <col min="1551" max="1553" width="7.75" style="182" customWidth="1"/>
    <col min="1554" max="1554" width="14.125" style="182" customWidth="1"/>
    <col min="1555" max="1792" width="9" style="182"/>
    <col min="1793" max="1793" width="8.125" style="182" customWidth="1"/>
    <col min="1794" max="1794" width="6.25" style="182" customWidth="1"/>
    <col min="1795" max="1795" width="6.375" style="182" customWidth="1"/>
    <col min="1796" max="1796" width="5.375" style="182" customWidth="1"/>
    <col min="1797" max="1797" width="5.875" style="182" customWidth="1"/>
    <col min="1798" max="1798" width="6.375" style="182" customWidth="1"/>
    <col min="1799" max="1799" width="5.75" style="182" customWidth="1"/>
    <col min="1800" max="1800" width="11.875" style="182" customWidth="1"/>
    <col min="1801" max="1801" width="8.5" style="182" customWidth="1"/>
    <col min="1802" max="1802" width="9" style="182"/>
    <col min="1803" max="1803" width="12.25" style="182" customWidth="1"/>
    <col min="1804" max="1804" width="11.625" style="182" bestFit="1" customWidth="1"/>
    <col min="1805" max="1805" width="11.625" style="182" customWidth="1"/>
    <col min="1806" max="1806" width="7.875" style="182" customWidth="1"/>
    <col min="1807" max="1809" width="7.75" style="182" customWidth="1"/>
    <col min="1810" max="1810" width="14.125" style="182" customWidth="1"/>
    <col min="1811" max="2048" width="9" style="182"/>
    <col min="2049" max="2049" width="8.125" style="182" customWidth="1"/>
    <col min="2050" max="2050" width="6.25" style="182" customWidth="1"/>
    <col min="2051" max="2051" width="6.375" style="182" customWidth="1"/>
    <col min="2052" max="2052" width="5.375" style="182" customWidth="1"/>
    <col min="2053" max="2053" width="5.875" style="182" customWidth="1"/>
    <col min="2054" max="2054" width="6.375" style="182" customWidth="1"/>
    <col min="2055" max="2055" width="5.75" style="182" customWidth="1"/>
    <col min="2056" max="2056" width="11.875" style="182" customWidth="1"/>
    <col min="2057" max="2057" width="8.5" style="182" customWidth="1"/>
    <col min="2058" max="2058" width="9" style="182"/>
    <col min="2059" max="2059" width="12.25" style="182" customWidth="1"/>
    <col min="2060" max="2060" width="11.625" style="182" bestFit="1" customWidth="1"/>
    <col min="2061" max="2061" width="11.625" style="182" customWidth="1"/>
    <col min="2062" max="2062" width="7.875" style="182" customWidth="1"/>
    <col min="2063" max="2065" width="7.75" style="182" customWidth="1"/>
    <col min="2066" max="2066" width="14.125" style="182" customWidth="1"/>
    <col min="2067" max="2304" width="9" style="182"/>
    <col min="2305" max="2305" width="8.125" style="182" customWidth="1"/>
    <col min="2306" max="2306" width="6.25" style="182" customWidth="1"/>
    <col min="2307" max="2307" width="6.375" style="182" customWidth="1"/>
    <col min="2308" max="2308" width="5.375" style="182" customWidth="1"/>
    <col min="2309" max="2309" width="5.875" style="182" customWidth="1"/>
    <col min="2310" max="2310" width="6.375" style="182" customWidth="1"/>
    <col min="2311" max="2311" width="5.75" style="182" customWidth="1"/>
    <col min="2312" max="2312" width="11.875" style="182" customWidth="1"/>
    <col min="2313" max="2313" width="8.5" style="182" customWidth="1"/>
    <col min="2314" max="2314" width="9" style="182"/>
    <col min="2315" max="2315" width="12.25" style="182" customWidth="1"/>
    <col min="2316" max="2316" width="11.625" style="182" bestFit="1" customWidth="1"/>
    <col min="2317" max="2317" width="11.625" style="182" customWidth="1"/>
    <col min="2318" max="2318" width="7.875" style="182" customWidth="1"/>
    <col min="2319" max="2321" width="7.75" style="182" customWidth="1"/>
    <col min="2322" max="2322" width="14.125" style="182" customWidth="1"/>
    <col min="2323" max="2560" width="9" style="182"/>
    <col min="2561" max="2561" width="8.125" style="182" customWidth="1"/>
    <col min="2562" max="2562" width="6.25" style="182" customWidth="1"/>
    <col min="2563" max="2563" width="6.375" style="182" customWidth="1"/>
    <col min="2564" max="2564" width="5.375" style="182" customWidth="1"/>
    <col min="2565" max="2565" width="5.875" style="182" customWidth="1"/>
    <col min="2566" max="2566" width="6.375" style="182" customWidth="1"/>
    <col min="2567" max="2567" width="5.75" style="182" customWidth="1"/>
    <col min="2568" max="2568" width="11.875" style="182" customWidth="1"/>
    <col min="2569" max="2569" width="8.5" style="182" customWidth="1"/>
    <col min="2570" max="2570" width="9" style="182"/>
    <col min="2571" max="2571" width="12.25" style="182" customWidth="1"/>
    <col min="2572" max="2572" width="11.625" style="182" bestFit="1" customWidth="1"/>
    <col min="2573" max="2573" width="11.625" style="182" customWidth="1"/>
    <col min="2574" max="2574" width="7.875" style="182" customWidth="1"/>
    <col min="2575" max="2577" width="7.75" style="182" customWidth="1"/>
    <col min="2578" max="2578" width="14.125" style="182" customWidth="1"/>
    <col min="2579" max="2816" width="9" style="182"/>
    <col min="2817" max="2817" width="8.125" style="182" customWidth="1"/>
    <col min="2818" max="2818" width="6.25" style="182" customWidth="1"/>
    <col min="2819" max="2819" width="6.375" style="182" customWidth="1"/>
    <col min="2820" max="2820" width="5.375" style="182" customWidth="1"/>
    <col min="2821" max="2821" width="5.875" style="182" customWidth="1"/>
    <col min="2822" max="2822" width="6.375" style="182" customWidth="1"/>
    <col min="2823" max="2823" width="5.75" style="182" customWidth="1"/>
    <col min="2824" max="2824" width="11.875" style="182" customWidth="1"/>
    <col min="2825" max="2825" width="8.5" style="182" customWidth="1"/>
    <col min="2826" max="2826" width="9" style="182"/>
    <col min="2827" max="2827" width="12.25" style="182" customWidth="1"/>
    <col min="2828" max="2828" width="11.625" style="182" bestFit="1" customWidth="1"/>
    <col min="2829" max="2829" width="11.625" style="182" customWidth="1"/>
    <col min="2830" max="2830" width="7.875" style="182" customWidth="1"/>
    <col min="2831" max="2833" width="7.75" style="182" customWidth="1"/>
    <col min="2834" max="2834" width="14.125" style="182" customWidth="1"/>
    <col min="2835" max="3072" width="9" style="182"/>
    <col min="3073" max="3073" width="8.125" style="182" customWidth="1"/>
    <col min="3074" max="3074" width="6.25" style="182" customWidth="1"/>
    <col min="3075" max="3075" width="6.375" style="182" customWidth="1"/>
    <col min="3076" max="3076" width="5.375" style="182" customWidth="1"/>
    <col min="3077" max="3077" width="5.875" style="182" customWidth="1"/>
    <col min="3078" max="3078" width="6.375" style="182" customWidth="1"/>
    <col min="3079" max="3079" width="5.75" style="182" customWidth="1"/>
    <col min="3080" max="3080" width="11.875" style="182" customWidth="1"/>
    <col min="3081" max="3081" width="8.5" style="182" customWidth="1"/>
    <col min="3082" max="3082" width="9" style="182"/>
    <col min="3083" max="3083" width="12.25" style="182" customWidth="1"/>
    <col min="3084" max="3084" width="11.625" style="182" bestFit="1" customWidth="1"/>
    <col min="3085" max="3085" width="11.625" style="182" customWidth="1"/>
    <col min="3086" max="3086" width="7.875" style="182" customWidth="1"/>
    <col min="3087" max="3089" width="7.75" style="182" customWidth="1"/>
    <col min="3090" max="3090" width="14.125" style="182" customWidth="1"/>
    <col min="3091" max="3328" width="9" style="182"/>
    <col min="3329" max="3329" width="8.125" style="182" customWidth="1"/>
    <col min="3330" max="3330" width="6.25" style="182" customWidth="1"/>
    <col min="3331" max="3331" width="6.375" style="182" customWidth="1"/>
    <col min="3332" max="3332" width="5.375" style="182" customWidth="1"/>
    <col min="3333" max="3333" width="5.875" style="182" customWidth="1"/>
    <col min="3334" max="3334" width="6.375" style="182" customWidth="1"/>
    <col min="3335" max="3335" width="5.75" style="182" customWidth="1"/>
    <col min="3336" max="3336" width="11.875" style="182" customWidth="1"/>
    <col min="3337" max="3337" width="8.5" style="182" customWidth="1"/>
    <col min="3338" max="3338" width="9" style="182"/>
    <col min="3339" max="3339" width="12.25" style="182" customWidth="1"/>
    <col min="3340" max="3340" width="11.625" style="182" bestFit="1" customWidth="1"/>
    <col min="3341" max="3341" width="11.625" style="182" customWidth="1"/>
    <col min="3342" max="3342" width="7.875" style="182" customWidth="1"/>
    <col min="3343" max="3345" width="7.75" style="182" customWidth="1"/>
    <col min="3346" max="3346" width="14.125" style="182" customWidth="1"/>
    <col min="3347" max="3584" width="9" style="182"/>
    <col min="3585" max="3585" width="8.125" style="182" customWidth="1"/>
    <col min="3586" max="3586" width="6.25" style="182" customWidth="1"/>
    <col min="3587" max="3587" width="6.375" style="182" customWidth="1"/>
    <col min="3588" max="3588" width="5.375" style="182" customWidth="1"/>
    <col min="3589" max="3589" width="5.875" style="182" customWidth="1"/>
    <col min="3590" max="3590" width="6.375" style="182" customWidth="1"/>
    <col min="3591" max="3591" width="5.75" style="182" customWidth="1"/>
    <col min="3592" max="3592" width="11.875" style="182" customWidth="1"/>
    <col min="3593" max="3593" width="8.5" style="182" customWidth="1"/>
    <col min="3594" max="3594" width="9" style="182"/>
    <col min="3595" max="3595" width="12.25" style="182" customWidth="1"/>
    <col min="3596" max="3596" width="11.625" style="182" bestFit="1" customWidth="1"/>
    <col min="3597" max="3597" width="11.625" style="182" customWidth="1"/>
    <col min="3598" max="3598" width="7.875" style="182" customWidth="1"/>
    <col min="3599" max="3601" width="7.75" style="182" customWidth="1"/>
    <col min="3602" max="3602" width="14.125" style="182" customWidth="1"/>
    <col min="3603" max="3840" width="9" style="182"/>
    <col min="3841" max="3841" width="8.125" style="182" customWidth="1"/>
    <col min="3842" max="3842" width="6.25" style="182" customWidth="1"/>
    <col min="3843" max="3843" width="6.375" style="182" customWidth="1"/>
    <col min="3844" max="3844" width="5.375" style="182" customWidth="1"/>
    <col min="3845" max="3845" width="5.875" style="182" customWidth="1"/>
    <col min="3846" max="3846" width="6.375" style="182" customWidth="1"/>
    <col min="3847" max="3847" width="5.75" style="182" customWidth="1"/>
    <col min="3848" max="3848" width="11.875" style="182" customWidth="1"/>
    <col min="3849" max="3849" width="8.5" style="182" customWidth="1"/>
    <col min="3850" max="3850" width="9" style="182"/>
    <col min="3851" max="3851" width="12.25" style="182" customWidth="1"/>
    <col min="3852" max="3852" width="11.625" style="182" bestFit="1" customWidth="1"/>
    <col min="3853" max="3853" width="11.625" style="182" customWidth="1"/>
    <col min="3854" max="3854" width="7.875" style="182" customWidth="1"/>
    <col min="3855" max="3857" width="7.75" style="182" customWidth="1"/>
    <col min="3858" max="3858" width="14.125" style="182" customWidth="1"/>
    <col min="3859" max="4096" width="9" style="182"/>
    <col min="4097" max="4097" width="8.125" style="182" customWidth="1"/>
    <col min="4098" max="4098" width="6.25" style="182" customWidth="1"/>
    <col min="4099" max="4099" width="6.375" style="182" customWidth="1"/>
    <col min="4100" max="4100" width="5.375" style="182" customWidth="1"/>
    <col min="4101" max="4101" width="5.875" style="182" customWidth="1"/>
    <col min="4102" max="4102" width="6.375" style="182" customWidth="1"/>
    <col min="4103" max="4103" width="5.75" style="182" customWidth="1"/>
    <col min="4104" max="4104" width="11.875" style="182" customWidth="1"/>
    <col min="4105" max="4105" width="8.5" style="182" customWidth="1"/>
    <col min="4106" max="4106" width="9" style="182"/>
    <col min="4107" max="4107" width="12.25" style="182" customWidth="1"/>
    <col min="4108" max="4108" width="11.625" style="182" bestFit="1" customWidth="1"/>
    <col min="4109" max="4109" width="11.625" style="182" customWidth="1"/>
    <col min="4110" max="4110" width="7.875" style="182" customWidth="1"/>
    <col min="4111" max="4113" width="7.75" style="182" customWidth="1"/>
    <col min="4114" max="4114" width="14.125" style="182" customWidth="1"/>
    <col min="4115" max="4352" width="9" style="182"/>
    <col min="4353" max="4353" width="8.125" style="182" customWidth="1"/>
    <col min="4354" max="4354" width="6.25" style="182" customWidth="1"/>
    <col min="4355" max="4355" width="6.375" style="182" customWidth="1"/>
    <col min="4356" max="4356" width="5.375" style="182" customWidth="1"/>
    <col min="4357" max="4357" width="5.875" style="182" customWidth="1"/>
    <col min="4358" max="4358" width="6.375" style="182" customWidth="1"/>
    <col min="4359" max="4359" width="5.75" style="182" customWidth="1"/>
    <col min="4360" max="4360" width="11.875" style="182" customWidth="1"/>
    <col min="4361" max="4361" width="8.5" style="182" customWidth="1"/>
    <col min="4362" max="4362" width="9" style="182"/>
    <col min="4363" max="4363" width="12.25" style="182" customWidth="1"/>
    <col min="4364" max="4364" width="11.625" style="182" bestFit="1" customWidth="1"/>
    <col min="4365" max="4365" width="11.625" style="182" customWidth="1"/>
    <col min="4366" max="4366" width="7.875" style="182" customWidth="1"/>
    <col min="4367" max="4369" width="7.75" style="182" customWidth="1"/>
    <col min="4370" max="4370" width="14.125" style="182" customWidth="1"/>
    <col min="4371" max="4608" width="9" style="182"/>
    <col min="4609" max="4609" width="8.125" style="182" customWidth="1"/>
    <col min="4610" max="4610" width="6.25" style="182" customWidth="1"/>
    <col min="4611" max="4611" width="6.375" style="182" customWidth="1"/>
    <col min="4612" max="4612" width="5.375" style="182" customWidth="1"/>
    <col min="4613" max="4613" width="5.875" style="182" customWidth="1"/>
    <col min="4614" max="4614" width="6.375" style="182" customWidth="1"/>
    <col min="4615" max="4615" width="5.75" style="182" customWidth="1"/>
    <col min="4616" max="4616" width="11.875" style="182" customWidth="1"/>
    <col min="4617" max="4617" width="8.5" style="182" customWidth="1"/>
    <col min="4618" max="4618" width="9" style="182"/>
    <col min="4619" max="4619" width="12.25" style="182" customWidth="1"/>
    <col min="4620" max="4620" width="11.625" style="182" bestFit="1" customWidth="1"/>
    <col min="4621" max="4621" width="11.625" style="182" customWidth="1"/>
    <col min="4622" max="4622" width="7.875" style="182" customWidth="1"/>
    <col min="4623" max="4625" width="7.75" style="182" customWidth="1"/>
    <col min="4626" max="4626" width="14.125" style="182" customWidth="1"/>
    <col min="4627" max="4864" width="9" style="182"/>
    <col min="4865" max="4865" width="8.125" style="182" customWidth="1"/>
    <col min="4866" max="4866" width="6.25" style="182" customWidth="1"/>
    <col min="4867" max="4867" width="6.375" style="182" customWidth="1"/>
    <col min="4868" max="4868" width="5.375" style="182" customWidth="1"/>
    <col min="4869" max="4869" width="5.875" style="182" customWidth="1"/>
    <col min="4870" max="4870" width="6.375" style="182" customWidth="1"/>
    <col min="4871" max="4871" width="5.75" style="182" customWidth="1"/>
    <col min="4872" max="4872" width="11.875" style="182" customWidth="1"/>
    <col min="4873" max="4873" width="8.5" style="182" customWidth="1"/>
    <col min="4874" max="4874" width="9" style="182"/>
    <col min="4875" max="4875" width="12.25" style="182" customWidth="1"/>
    <col min="4876" max="4876" width="11.625" style="182" bestFit="1" customWidth="1"/>
    <col min="4877" max="4877" width="11.625" style="182" customWidth="1"/>
    <col min="4878" max="4878" width="7.875" style="182" customWidth="1"/>
    <col min="4879" max="4881" width="7.75" style="182" customWidth="1"/>
    <col min="4882" max="4882" width="14.125" style="182" customWidth="1"/>
    <col min="4883" max="5120" width="9" style="182"/>
    <col min="5121" max="5121" width="8.125" style="182" customWidth="1"/>
    <col min="5122" max="5122" width="6.25" style="182" customWidth="1"/>
    <col min="5123" max="5123" width="6.375" style="182" customWidth="1"/>
    <col min="5124" max="5124" width="5.375" style="182" customWidth="1"/>
    <col min="5125" max="5125" width="5.875" style="182" customWidth="1"/>
    <col min="5126" max="5126" width="6.375" style="182" customWidth="1"/>
    <col min="5127" max="5127" width="5.75" style="182" customWidth="1"/>
    <col min="5128" max="5128" width="11.875" style="182" customWidth="1"/>
    <col min="5129" max="5129" width="8.5" style="182" customWidth="1"/>
    <col min="5130" max="5130" width="9" style="182"/>
    <col min="5131" max="5131" width="12.25" style="182" customWidth="1"/>
    <col min="5132" max="5132" width="11.625" style="182" bestFit="1" customWidth="1"/>
    <col min="5133" max="5133" width="11.625" style="182" customWidth="1"/>
    <col min="5134" max="5134" width="7.875" style="182" customWidth="1"/>
    <col min="5135" max="5137" width="7.75" style="182" customWidth="1"/>
    <col min="5138" max="5138" width="14.125" style="182" customWidth="1"/>
    <col min="5139" max="5376" width="9" style="182"/>
    <col min="5377" max="5377" width="8.125" style="182" customWidth="1"/>
    <col min="5378" max="5378" width="6.25" style="182" customWidth="1"/>
    <col min="5379" max="5379" width="6.375" style="182" customWidth="1"/>
    <col min="5380" max="5380" width="5.375" style="182" customWidth="1"/>
    <col min="5381" max="5381" width="5.875" style="182" customWidth="1"/>
    <col min="5382" max="5382" width="6.375" style="182" customWidth="1"/>
    <col min="5383" max="5383" width="5.75" style="182" customWidth="1"/>
    <col min="5384" max="5384" width="11.875" style="182" customWidth="1"/>
    <col min="5385" max="5385" width="8.5" style="182" customWidth="1"/>
    <col min="5386" max="5386" width="9" style="182"/>
    <col min="5387" max="5387" width="12.25" style="182" customWidth="1"/>
    <col min="5388" max="5388" width="11.625" style="182" bestFit="1" customWidth="1"/>
    <col min="5389" max="5389" width="11.625" style="182" customWidth="1"/>
    <col min="5390" max="5390" width="7.875" style="182" customWidth="1"/>
    <col min="5391" max="5393" width="7.75" style="182" customWidth="1"/>
    <col min="5394" max="5394" width="14.125" style="182" customWidth="1"/>
    <col min="5395" max="5632" width="9" style="182"/>
    <col min="5633" max="5633" width="8.125" style="182" customWidth="1"/>
    <col min="5634" max="5634" width="6.25" style="182" customWidth="1"/>
    <col min="5635" max="5635" width="6.375" style="182" customWidth="1"/>
    <col min="5636" max="5636" width="5.375" style="182" customWidth="1"/>
    <col min="5637" max="5637" width="5.875" style="182" customWidth="1"/>
    <col min="5638" max="5638" width="6.375" style="182" customWidth="1"/>
    <col min="5639" max="5639" width="5.75" style="182" customWidth="1"/>
    <col min="5640" max="5640" width="11.875" style="182" customWidth="1"/>
    <col min="5641" max="5641" width="8.5" style="182" customWidth="1"/>
    <col min="5642" max="5642" width="9" style="182"/>
    <col min="5643" max="5643" width="12.25" style="182" customWidth="1"/>
    <col min="5644" max="5644" width="11.625" style="182" bestFit="1" customWidth="1"/>
    <col min="5645" max="5645" width="11.625" style="182" customWidth="1"/>
    <col min="5646" max="5646" width="7.875" style="182" customWidth="1"/>
    <col min="5647" max="5649" width="7.75" style="182" customWidth="1"/>
    <col min="5650" max="5650" width="14.125" style="182" customWidth="1"/>
    <col min="5651" max="5888" width="9" style="182"/>
    <col min="5889" max="5889" width="8.125" style="182" customWidth="1"/>
    <col min="5890" max="5890" width="6.25" style="182" customWidth="1"/>
    <col min="5891" max="5891" width="6.375" style="182" customWidth="1"/>
    <col min="5892" max="5892" width="5.375" style="182" customWidth="1"/>
    <col min="5893" max="5893" width="5.875" style="182" customWidth="1"/>
    <col min="5894" max="5894" width="6.375" style="182" customWidth="1"/>
    <col min="5895" max="5895" width="5.75" style="182" customWidth="1"/>
    <col min="5896" max="5896" width="11.875" style="182" customWidth="1"/>
    <col min="5897" max="5897" width="8.5" style="182" customWidth="1"/>
    <col min="5898" max="5898" width="9" style="182"/>
    <col min="5899" max="5899" width="12.25" style="182" customWidth="1"/>
    <col min="5900" max="5900" width="11.625" style="182" bestFit="1" customWidth="1"/>
    <col min="5901" max="5901" width="11.625" style="182" customWidth="1"/>
    <col min="5902" max="5902" width="7.875" style="182" customWidth="1"/>
    <col min="5903" max="5905" width="7.75" style="182" customWidth="1"/>
    <col min="5906" max="5906" width="14.125" style="182" customWidth="1"/>
    <col min="5907" max="6144" width="9" style="182"/>
    <col min="6145" max="6145" width="8.125" style="182" customWidth="1"/>
    <col min="6146" max="6146" width="6.25" style="182" customWidth="1"/>
    <col min="6147" max="6147" width="6.375" style="182" customWidth="1"/>
    <col min="6148" max="6148" width="5.375" style="182" customWidth="1"/>
    <col min="6149" max="6149" width="5.875" style="182" customWidth="1"/>
    <col min="6150" max="6150" width="6.375" style="182" customWidth="1"/>
    <col min="6151" max="6151" width="5.75" style="182" customWidth="1"/>
    <col min="6152" max="6152" width="11.875" style="182" customWidth="1"/>
    <col min="6153" max="6153" width="8.5" style="182" customWidth="1"/>
    <col min="6154" max="6154" width="9" style="182"/>
    <col min="6155" max="6155" width="12.25" style="182" customWidth="1"/>
    <col min="6156" max="6156" width="11.625" style="182" bestFit="1" customWidth="1"/>
    <col min="6157" max="6157" width="11.625" style="182" customWidth="1"/>
    <col min="6158" max="6158" width="7.875" style="182" customWidth="1"/>
    <col min="6159" max="6161" width="7.75" style="182" customWidth="1"/>
    <col min="6162" max="6162" width="14.125" style="182" customWidth="1"/>
    <col min="6163" max="6400" width="9" style="182"/>
    <col min="6401" max="6401" width="8.125" style="182" customWidth="1"/>
    <col min="6402" max="6402" width="6.25" style="182" customWidth="1"/>
    <col min="6403" max="6403" width="6.375" style="182" customWidth="1"/>
    <col min="6404" max="6404" width="5.375" style="182" customWidth="1"/>
    <col min="6405" max="6405" width="5.875" style="182" customWidth="1"/>
    <col min="6406" max="6406" width="6.375" style="182" customWidth="1"/>
    <col min="6407" max="6407" width="5.75" style="182" customWidth="1"/>
    <col min="6408" max="6408" width="11.875" style="182" customWidth="1"/>
    <col min="6409" max="6409" width="8.5" style="182" customWidth="1"/>
    <col min="6410" max="6410" width="9" style="182"/>
    <col min="6411" max="6411" width="12.25" style="182" customWidth="1"/>
    <col min="6412" max="6412" width="11.625" style="182" bestFit="1" customWidth="1"/>
    <col min="6413" max="6413" width="11.625" style="182" customWidth="1"/>
    <col min="6414" max="6414" width="7.875" style="182" customWidth="1"/>
    <col min="6415" max="6417" width="7.75" style="182" customWidth="1"/>
    <col min="6418" max="6418" width="14.125" style="182" customWidth="1"/>
    <col min="6419" max="6656" width="9" style="182"/>
    <col min="6657" max="6657" width="8.125" style="182" customWidth="1"/>
    <col min="6658" max="6658" width="6.25" style="182" customWidth="1"/>
    <col min="6659" max="6659" width="6.375" style="182" customWidth="1"/>
    <col min="6660" max="6660" width="5.375" style="182" customWidth="1"/>
    <col min="6661" max="6661" width="5.875" style="182" customWidth="1"/>
    <col min="6662" max="6662" width="6.375" style="182" customWidth="1"/>
    <col min="6663" max="6663" width="5.75" style="182" customWidth="1"/>
    <col min="6664" max="6664" width="11.875" style="182" customWidth="1"/>
    <col min="6665" max="6665" width="8.5" style="182" customWidth="1"/>
    <col min="6666" max="6666" width="9" style="182"/>
    <col min="6667" max="6667" width="12.25" style="182" customWidth="1"/>
    <col min="6668" max="6668" width="11.625" style="182" bestFit="1" customWidth="1"/>
    <col min="6669" max="6669" width="11.625" style="182" customWidth="1"/>
    <col min="6670" max="6670" width="7.875" style="182" customWidth="1"/>
    <col min="6671" max="6673" width="7.75" style="182" customWidth="1"/>
    <col min="6674" max="6674" width="14.125" style="182" customWidth="1"/>
    <col min="6675" max="6912" width="9" style="182"/>
    <col min="6913" max="6913" width="8.125" style="182" customWidth="1"/>
    <col min="6914" max="6914" width="6.25" style="182" customWidth="1"/>
    <col min="6915" max="6915" width="6.375" style="182" customWidth="1"/>
    <col min="6916" max="6916" width="5.375" style="182" customWidth="1"/>
    <col min="6917" max="6917" width="5.875" style="182" customWidth="1"/>
    <col min="6918" max="6918" width="6.375" style="182" customWidth="1"/>
    <col min="6919" max="6919" width="5.75" style="182" customWidth="1"/>
    <col min="6920" max="6920" width="11.875" style="182" customWidth="1"/>
    <col min="6921" max="6921" width="8.5" style="182" customWidth="1"/>
    <col min="6922" max="6922" width="9" style="182"/>
    <col min="6923" max="6923" width="12.25" style="182" customWidth="1"/>
    <col min="6924" max="6924" width="11.625" style="182" bestFit="1" customWidth="1"/>
    <col min="6925" max="6925" width="11.625" style="182" customWidth="1"/>
    <col min="6926" max="6926" width="7.875" style="182" customWidth="1"/>
    <col min="6927" max="6929" width="7.75" style="182" customWidth="1"/>
    <col min="6930" max="6930" width="14.125" style="182" customWidth="1"/>
    <col min="6931" max="7168" width="9" style="182"/>
    <col min="7169" max="7169" width="8.125" style="182" customWidth="1"/>
    <col min="7170" max="7170" width="6.25" style="182" customWidth="1"/>
    <col min="7171" max="7171" width="6.375" style="182" customWidth="1"/>
    <col min="7172" max="7172" width="5.375" style="182" customWidth="1"/>
    <col min="7173" max="7173" width="5.875" style="182" customWidth="1"/>
    <col min="7174" max="7174" width="6.375" style="182" customWidth="1"/>
    <col min="7175" max="7175" width="5.75" style="182" customWidth="1"/>
    <col min="7176" max="7176" width="11.875" style="182" customWidth="1"/>
    <col min="7177" max="7177" width="8.5" style="182" customWidth="1"/>
    <col min="7178" max="7178" width="9" style="182"/>
    <col min="7179" max="7179" width="12.25" style="182" customWidth="1"/>
    <col min="7180" max="7180" width="11.625" style="182" bestFit="1" customWidth="1"/>
    <col min="7181" max="7181" width="11.625" style="182" customWidth="1"/>
    <col min="7182" max="7182" width="7.875" style="182" customWidth="1"/>
    <col min="7183" max="7185" width="7.75" style="182" customWidth="1"/>
    <col min="7186" max="7186" width="14.125" style="182" customWidth="1"/>
    <col min="7187" max="7424" width="9" style="182"/>
    <col min="7425" max="7425" width="8.125" style="182" customWidth="1"/>
    <col min="7426" max="7426" width="6.25" style="182" customWidth="1"/>
    <col min="7427" max="7427" width="6.375" style="182" customWidth="1"/>
    <col min="7428" max="7428" width="5.375" style="182" customWidth="1"/>
    <col min="7429" max="7429" width="5.875" style="182" customWidth="1"/>
    <col min="7430" max="7430" width="6.375" style="182" customWidth="1"/>
    <col min="7431" max="7431" width="5.75" style="182" customWidth="1"/>
    <col min="7432" max="7432" width="11.875" style="182" customWidth="1"/>
    <col min="7433" max="7433" width="8.5" style="182" customWidth="1"/>
    <col min="7434" max="7434" width="9" style="182"/>
    <col min="7435" max="7435" width="12.25" style="182" customWidth="1"/>
    <col min="7436" max="7436" width="11.625" style="182" bestFit="1" customWidth="1"/>
    <col min="7437" max="7437" width="11.625" style="182" customWidth="1"/>
    <col min="7438" max="7438" width="7.875" style="182" customWidth="1"/>
    <col min="7439" max="7441" width="7.75" style="182" customWidth="1"/>
    <col min="7442" max="7442" width="14.125" style="182" customWidth="1"/>
    <col min="7443" max="7680" width="9" style="182"/>
    <col min="7681" max="7681" width="8.125" style="182" customWidth="1"/>
    <col min="7682" max="7682" width="6.25" style="182" customWidth="1"/>
    <col min="7683" max="7683" width="6.375" style="182" customWidth="1"/>
    <col min="7684" max="7684" width="5.375" style="182" customWidth="1"/>
    <col min="7685" max="7685" width="5.875" style="182" customWidth="1"/>
    <col min="7686" max="7686" width="6.375" style="182" customWidth="1"/>
    <col min="7687" max="7687" width="5.75" style="182" customWidth="1"/>
    <col min="7688" max="7688" width="11.875" style="182" customWidth="1"/>
    <col min="7689" max="7689" width="8.5" style="182" customWidth="1"/>
    <col min="7690" max="7690" width="9" style="182"/>
    <col min="7691" max="7691" width="12.25" style="182" customWidth="1"/>
    <col min="7692" max="7692" width="11.625" style="182" bestFit="1" customWidth="1"/>
    <col min="7693" max="7693" width="11.625" style="182" customWidth="1"/>
    <col min="7694" max="7694" width="7.875" style="182" customWidth="1"/>
    <col min="7695" max="7697" width="7.75" style="182" customWidth="1"/>
    <col min="7698" max="7698" width="14.125" style="182" customWidth="1"/>
    <col min="7699" max="7936" width="9" style="182"/>
    <col min="7937" max="7937" width="8.125" style="182" customWidth="1"/>
    <col min="7938" max="7938" width="6.25" style="182" customWidth="1"/>
    <col min="7939" max="7939" width="6.375" style="182" customWidth="1"/>
    <col min="7940" max="7940" width="5.375" style="182" customWidth="1"/>
    <col min="7941" max="7941" width="5.875" style="182" customWidth="1"/>
    <col min="7942" max="7942" width="6.375" style="182" customWidth="1"/>
    <col min="7943" max="7943" width="5.75" style="182" customWidth="1"/>
    <col min="7944" max="7944" width="11.875" style="182" customWidth="1"/>
    <col min="7945" max="7945" width="8.5" style="182" customWidth="1"/>
    <col min="7946" max="7946" width="9" style="182"/>
    <col min="7947" max="7947" width="12.25" style="182" customWidth="1"/>
    <col min="7948" max="7948" width="11.625" style="182" bestFit="1" customWidth="1"/>
    <col min="7949" max="7949" width="11.625" style="182" customWidth="1"/>
    <col min="7950" max="7950" width="7.875" style="182" customWidth="1"/>
    <col min="7951" max="7953" width="7.75" style="182" customWidth="1"/>
    <col min="7954" max="7954" width="14.125" style="182" customWidth="1"/>
    <col min="7955" max="8192" width="9" style="182"/>
    <col min="8193" max="8193" width="8.125" style="182" customWidth="1"/>
    <col min="8194" max="8194" width="6.25" style="182" customWidth="1"/>
    <col min="8195" max="8195" width="6.375" style="182" customWidth="1"/>
    <col min="8196" max="8196" width="5.375" style="182" customWidth="1"/>
    <col min="8197" max="8197" width="5.875" style="182" customWidth="1"/>
    <col min="8198" max="8198" width="6.375" style="182" customWidth="1"/>
    <col min="8199" max="8199" width="5.75" style="182" customWidth="1"/>
    <col min="8200" max="8200" width="11.875" style="182" customWidth="1"/>
    <col min="8201" max="8201" width="8.5" style="182" customWidth="1"/>
    <col min="8202" max="8202" width="9" style="182"/>
    <col min="8203" max="8203" width="12.25" style="182" customWidth="1"/>
    <col min="8204" max="8204" width="11.625" style="182" bestFit="1" customWidth="1"/>
    <col min="8205" max="8205" width="11.625" style="182" customWidth="1"/>
    <col min="8206" max="8206" width="7.875" style="182" customWidth="1"/>
    <col min="8207" max="8209" width="7.75" style="182" customWidth="1"/>
    <col min="8210" max="8210" width="14.125" style="182" customWidth="1"/>
    <col min="8211" max="8448" width="9" style="182"/>
    <col min="8449" max="8449" width="8.125" style="182" customWidth="1"/>
    <col min="8450" max="8450" width="6.25" style="182" customWidth="1"/>
    <col min="8451" max="8451" width="6.375" style="182" customWidth="1"/>
    <col min="8452" max="8452" width="5.375" style="182" customWidth="1"/>
    <col min="8453" max="8453" width="5.875" style="182" customWidth="1"/>
    <col min="8454" max="8454" width="6.375" style="182" customWidth="1"/>
    <col min="8455" max="8455" width="5.75" style="182" customWidth="1"/>
    <col min="8456" max="8456" width="11.875" style="182" customWidth="1"/>
    <col min="8457" max="8457" width="8.5" style="182" customWidth="1"/>
    <col min="8458" max="8458" width="9" style="182"/>
    <col min="8459" max="8459" width="12.25" style="182" customWidth="1"/>
    <col min="8460" max="8460" width="11.625" style="182" bestFit="1" customWidth="1"/>
    <col min="8461" max="8461" width="11.625" style="182" customWidth="1"/>
    <col min="8462" max="8462" width="7.875" style="182" customWidth="1"/>
    <col min="8463" max="8465" width="7.75" style="182" customWidth="1"/>
    <col min="8466" max="8466" width="14.125" style="182" customWidth="1"/>
    <col min="8467" max="8704" width="9" style="182"/>
    <col min="8705" max="8705" width="8.125" style="182" customWidth="1"/>
    <col min="8706" max="8706" width="6.25" style="182" customWidth="1"/>
    <col min="8707" max="8707" width="6.375" style="182" customWidth="1"/>
    <col min="8708" max="8708" width="5.375" style="182" customWidth="1"/>
    <col min="8709" max="8709" width="5.875" style="182" customWidth="1"/>
    <col min="8710" max="8710" width="6.375" style="182" customWidth="1"/>
    <col min="8711" max="8711" width="5.75" style="182" customWidth="1"/>
    <col min="8712" max="8712" width="11.875" style="182" customWidth="1"/>
    <col min="8713" max="8713" width="8.5" style="182" customWidth="1"/>
    <col min="8714" max="8714" width="9" style="182"/>
    <col min="8715" max="8715" width="12.25" style="182" customWidth="1"/>
    <col min="8716" max="8716" width="11.625" style="182" bestFit="1" customWidth="1"/>
    <col min="8717" max="8717" width="11.625" style="182" customWidth="1"/>
    <col min="8718" max="8718" width="7.875" style="182" customWidth="1"/>
    <col min="8719" max="8721" width="7.75" style="182" customWidth="1"/>
    <col min="8722" max="8722" width="14.125" style="182" customWidth="1"/>
    <col min="8723" max="8960" width="9" style="182"/>
    <col min="8961" max="8961" width="8.125" style="182" customWidth="1"/>
    <col min="8962" max="8962" width="6.25" style="182" customWidth="1"/>
    <col min="8963" max="8963" width="6.375" style="182" customWidth="1"/>
    <col min="8964" max="8964" width="5.375" style="182" customWidth="1"/>
    <col min="8965" max="8965" width="5.875" style="182" customWidth="1"/>
    <col min="8966" max="8966" width="6.375" style="182" customWidth="1"/>
    <col min="8967" max="8967" width="5.75" style="182" customWidth="1"/>
    <col min="8968" max="8968" width="11.875" style="182" customWidth="1"/>
    <col min="8969" max="8969" width="8.5" style="182" customWidth="1"/>
    <col min="8970" max="8970" width="9" style="182"/>
    <col min="8971" max="8971" width="12.25" style="182" customWidth="1"/>
    <col min="8972" max="8972" width="11.625" style="182" bestFit="1" customWidth="1"/>
    <col min="8973" max="8973" width="11.625" style="182" customWidth="1"/>
    <col min="8974" max="8974" width="7.875" style="182" customWidth="1"/>
    <col min="8975" max="8977" width="7.75" style="182" customWidth="1"/>
    <col min="8978" max="8978" width="14.125" style="182" customWidth="1"/>
    <col min="8979" max="9216" width="9" style="182"/>
    <col min="9217" max="9217" width="8.125" style="182" customWidth="1"/>
    <col min="9218" max="9218" width="6.25" style="182" customWidth="1"/>
    <col min="9219" max="9219" width="6.375" style="182" customWidth="1"/>
    <col min="9220" max="9220" width="5.375" style="182" customWidth="1"/>
    <col min="9221" max="9221" width="5.875" style="182" customWidth="1"/>
    <col min="9222" max="9222" width="6.375" style="182" customWidth="1"/>
    <col min="9223" max="9223" width="5.75" style="182" customWidth="1"/>
    <col min="9224" max="9224" width="11.875" style="182" customWidth="1"/>
    <col min="9225" max="9225" width="8.5" style="182" customWidth="1"/>
    <col min="9226" max="9226" width="9" style="182"/>
    <col min="9227" max="9227" width="12.25" style="182" customWidth="1"/>
    <col min="9228" max="9228" width="11.625" style="182" bestFit="1" customWidth="1"/>
    <col min="9229" max="9229" width="11.625" style="182" customWidth="1"/>
    <col min="9230" max="9230" width="7.875" style="182" customWidth="1"/>
    <col min="9231" max="9233" width="7.75" style="182" customWidth="1"/>
    <col min="9234" max="9234" width="14.125" style="182" customWidth="1"/>
    <col min="9235" max="9472" width="9" style="182"/>
    <col min="9473" max="9473" width="8.125" style="182" customWidth="1"/>
    <col min="9474" max="9474" width="6.25" style="182" customWidth="1"/>
    <col min="9475" max="9475" width="6.375" style="182" customWidth="1"/>
    <col min="9476" max="9476" width="5.375" style="182" customWidth="1"/>
    <col min="9477" max="9477" width="5.875" style="182" customWidth="1"/>
    <col min="9478" max="9478" width="6.375" style="182" customWidth="1"/>
    <col min="9479" max="9479" width="5.75" style="182" customWidth="1"/>
    <col min="9480" max="9480" width="11.875" style="182" customWidth="1"/>
    <col min="9481" max="9481" width="8.5" style="182" customWidth="1"/>
    <col min="9482" max="9482" width="9" style="182"/>
    <col min="9483" max="9483" width="12.25" style="182" customWidth="1"/>
    <col min="9484" max="9484" width="11.625" style="182" bestFit="1" customWidth="1"/>
    <col min="9485" max="9485" width="11.625" style="182" customWidth="1"/>
    <col min="9486" max="9486" width="7.875" style="182" customWidth="1"/>
    <col min="9487" max="9489" width="7.75" style="182" customWidth="1"/>
    <col min="9490" max="9490" width="14.125" style="182" customWidth="1"/>
    <col min="9491" max="9728" width="9" style="182"/>
    <col min="9729" max="9729" width="8.125" style="182" customWidth="1"/>
    <col min="9730" max="9730" width="6.25" style="182" customWidth="1"/>
    <col min="9731" max="9731" width="6.375" style="182" customWidth="1"/>
    <col min="9732" max="9732" width="5.375" style="182" customWidth="1"/>
    <col min="9733" max="9733" width="5.875" style="182" customWidth="1"/>
    <col min="9734" max="9734" width="6.375" style="182" customWidth="1"/>
    <col min="9735" max="9735" width="5.75" style="182" customWidth="1"/>
    <col min="9736" max="9736" width="11.875" style="182" customWidth="1"/>
    <col min="9737" max="9737" width="8.5" style="182" customWidth="1"/>
    <col min="9738" max="9738" width="9" style="182"/>
    <col min="9739" max="9739" width="12.25" style="182" customWidth="1"/>
    <col min="9740" max="9740" width="11.625" style="182" bestFit="1" customWidth="1"/>
    <col min="9741" max="9741" width="11.625" style="182" customWidth="1"/>
    <col min="9742" max="9742" width="7.875" style="182" customWidth="1"/>
    <col min="9743" max="9745" width="7.75" style="182" customWidth="1"/>
    <col min="9746" max="9746" width="14.125" style="182" customWidth="1"/>
    <col min="9747" max="9984" width="9" style="182"/>
    <col min="9985" max="9985" width="8.125" style="182" customWidth="1"/>
    <col min="9986" max="9986" width="6.25" style="182" customWidth="1"/>
    <col min="9987" max="9987" width="6.375" style="182" customWidth="1"/>
    <col min="9988" max="9988" width="5.375" style="182" customWidth="1"/>
    <col min="9989" max="9989" width="5.875" style="182" customWidth="1"/>
    <col min="9990" max="9990" width="6.375" style="182" customWidth="1"/>
    <col min="9991" max="9991" width="5.75" style="182" customWidth="1"/>
    <col min="9992" max="9992" width="11.875" style="182" customWidth="1"/>
    <col min="9993" max="9993" width="8.5" style="182" customWidth="1"/>
    <col min="9994" max="9994" width="9" style="182"/>
    <col min="9995" max="9995" width="12.25" style="182" customWidth="1"/>
    <col min="9996" max="9996" width="11.625" style="182" bestFit="1" customWidth="1"/>
    <col min="9997" max="9997" width="11.625" style="182" customWidth="1"/>
    <col min="9998" max="9998" width="7.875" style="182" customWidth="1"/>
    <col min="9999" max="10001" width="7.75" style="182" customWidth="1"/>
    <col min="10002" max="10002" width="14.125" style="182" customWidth="1"/>
    <col min="10003" max="10240" width="9" style="182"/>
    <col min="10241" max="10241" width="8.125" style="182" customWidth="1"/>
    <col min="10242" max="10242" width="6.25" style="182" customWidth="1"/>
    <col min="10243" max="10243" width="6.375" style="182" customWidth="1"/>
    <col min="10244" max="10244" width="5.375" style="182" customWidth="1"/>
    <col min="10245" max="10245" width="5.875" style="182" customWidth="1"/>
    <col min="10246" max="10246" width="6.375" style="182" customWidth="1"/>
    <col min="10247" max="10247" width="5.75" style="182" customWidth="1"/>
    <col min="10248" max="10248" width="11.875" style="182" customWidth="1"/>
    <col min="10249" max="10249" width="8.5" style="182" customWidth="1"/>
    <col min="10250" max="10250" width="9" style="182"/>
    <col min="10251" max="10251" width="12.25" style="182" customWidth="1"/>
    <col min="10252" max="10252" width="11.625" style="182" bestFit="1" customWidth="1"/>
    <col min="10253" max="10253" width="11.625" style="182" customWidth="1"/>
    <col min="10254" max="10254" width="7.875" style="182" customWidth="1"/>
    <col min="10255" max="10257" width="7.75" style="182" customWidth="1"/>
    <col min="10258" max="10258" width="14.125" style="182" customWidth="1"/>
    <col min="10259" max="10496" width="9" style="182"/>
    <col min="10497" max="10497" width="8.125" style="182" customWidth="1"/>
    <col min="10498" max="10498" width="6.25" style="182" customWidth="1"/>
    <col min="10499" max="10499" width="6.375" style="182" customWidth="1"/>
    <col min="10500" max="10500" width="5.375" style="182" customWidth="1"/>
    <col min="10501" max="10501" width="5.875" style="182" customWidth="1"/>
    <col min="10502" max="10502" width="6.375" style="182" customWidth="1"/>
    <col min="10503" max="10503" width="5.75" style="182" customWidth="1"/>
    <col min="10504" max="10504" width="11.875" style="182" customWidth="1"/>
    <col min="10505" max="10505" width="8.5" style="182" customWidth="1"/>
    <col min="10506" max="10506" width="9" style="182"/>
    <col min="10507" max="10507" width="12.25" style="182" customWidth="1"/>
    <col min="10508" max="10508" width="11.625" style="182" bestFit="1" customWidth="1"/>
    <col min="10509" max="10509" width="11.625" style="182" customWidth="1"/>
    <col min="10510" max="10510" width="7.875" style="182" customWidth="1"/>
    <col min="10511" max="10513" width="7.75" style="182" customWidth="1"/>
    <col min="10514" max="10514" width="14.125" style="182" customWidth="1"/>
    <col min="10515" max="10752" width="9" style="182"/>
    <col min="10753" max="10753" width="8.125" style="182" customWidth="1"/>
    <col min="10754" max="10754" width="6.25" style="182" customWidth="1"/>
    <col min="10755" max="10755" width="6.375" style="182" customWidth="1"/>
    <col min="10756" max="10756" width="5.375" style="182" customWidth="1"/>
    <col min="10757" max="10757" width="5.875" style="182" customWidth="1"/>
    <col min="10758" max="10758" width="6.375" style="182" customWidth="1"/>
    <col min="10759" max="10759" width="5.75" style="182" customWidth="1"/>
    <col min="10760" max="10760" width="11.875" style="182" customWidth="1"/>
    <col min="10761" max="10761" width="8.5" style="182" customWidth="1"/>
    <col min="10762" max="10762" width="9" style="182"/>
    <col min="10763" max="10763" width="12.25" style="182" customWidth="1"/>
    <col min="10764" max="10764" width="11.625" style="182" bestFit="1" customWidth="1"/>
    <col min="10765" max="10765" width="11.625" style="182" customWidth="1"/>
    <col min="10766" max="10766" width="7.875" style="182" customWidth="1"/>
    <col min="10767" max="10769" width="7.75" style="182" customWidth="1"/>
    <col min="10770" max="10770" width="14.125" style="182" customWidth="1"/>
    <col min="10771" max="11008" width="9" style="182"/>
    <col min="11009" max="11009" width="8.125" style="182" customWidth="1"/>
    <col min="11010" max="11010" width="6.25" style="182" customWidth="1"/>
    <col min="11011" max="11011" width="6.375" style="182" customWidth="1"/>
    <col min="11012" max="11012" width="5.375" style="182" customWidth="1"/>
    <col min="11013" max="11013" width="5.875" style="182" customWidth="1"/>
    <col min="11014" max="11014" width="6.375" style="182" customWidth="1"/>
    <col min="11015" max="11015" width="5.75" style="182" customWidth="1"/>
    <col min="11016" max="11016" width="11.875" style="182" customWidth="1"/>
    <col min="11017" max="11017" width="8.5" style="182" customWidth="1"/>
    <col min="11018" max="11018" width="9" style="182"/>
    <col min="11019" max="11019" width="12.25" style="182" customWidth="1"/>
    <col min="11020" max="11020" width="11.625" style="182" bestFit="1" customWidth="1"/>
    <col min="11021" max="11021" width="11.625" style="182" customWidth="1"/>
    <col min="11022" max="11022" width="7.875" style="182" customWidth="1"/>
    <col min="11023" max="11025" width="7.75" style="182" customWidth="1"/>
    <col min="11026" max="11026" width="14.125" style="182" customWidth="1"/>
    <col min="11027" max="11264" width="9" style="182"/>
    <col min="11265" max="11265" width="8.125" style="182" customWidth="1"/>
    <col min="11266" max="11266" width="6.25" style="182" customWidth="1"/>
    <col min="11267" max="11267" width="6.375" style="182" customWidth="1"/>
    <col min="11268" max="11268" width="5.375" style="182" customWidth="1"/>
    <col min="11269" max="11269" width="5.875" style="182" customWidth="1"/>
    <col min="11270" max="11270" width="6.375" style="182" customWidth="1"/>
    <col min="11271" max="11271" width="5.75" style="182" customWidth="1"/>
    <col min="11272" max="11272" width="11.875" style="182" customWidth="1"/>
    <col min="11273" max="11273" width="8.5" style="182" customWidth="1"/>
    <col min="11274" max="11274" width="9" style="182"/>
    <col min="11275" max="11275" width="12.25" style="182" customWidth="1"/>
    <col min="11276" max="11276" width="11.625" style="182" bestFit="1" customWidth="1"/>
    <col min="11277" max="11277" width="11.625" style="182" customWidth="1"/>
    <col min="11278" max="11278" width="7.875" style="182" customWidth="1"/>
    <col min="11279" max="11281" width="7.75" style="182" customWidth="1"/>
    <col min="11282" max="11282" width="14.125" style="182" customWidth="1"/>
    <col min="11283" max="11520" width="9" style="182"/>
    <col min="11521" max="11521" width="8.125" style="182" customWidth="1"/>
    <col min="11522" max="11522" width="6.25" style="182" customWidth="1"/>
    <col min="11523" max="11523" width="6.375" style="182" customWidth="1"/>
    <col min="11524" max="11524" width="5.375" style="182" customWidth="1"/>
    <col min="11525" max="11525" width="5.875" style="182" customWidth="1"/>
    <col min="11526" max="11526" width="6.375" style="182" customWidth="1"/>
    <col min="11527" max="11527" width="5.75" style="182" customWidth="1"/>
    <col min="11528" max="11528" width="11.875" style="182" customWidth="1"/>
    <col min="11529" max="11529" width="8.5" style="182" customWidth="1"/>
    <col min="11530" max="11530" width="9" style="182"/>
    <col min="11531" max="11531" width="12.25" style="182" customWidth="1"/>
    <col min="11532" max="11532" width="11.625" style="182" bestFit="1" customWidth="1"/>
    <col min="11533" max="11533" width="11.625" style="182" customWidth="1"/>
    <col min="11534" max="11534" width="7.875" style="182" customWidth="1"/>
    <col min="11535" max="11537" width="7.75" style="182" customWidth="1"/>
    <col min="11538" max="11538" width="14.125" style="182" customWidth="1"/>
    <col min="11539" max="11776" width="9" style="182"/>
    <col min="11777" max="11777" width="8.125" style="182" customWidth="1"/>
    <col min="11778" max="11778" width="6.25" style="182" customWidth="1"/>
    <col min="11779" max="11779" width="6.375" style="182" customWidth="1"/>
    <col min="11780" max="11780" width="5.375" style="182" customWidth="1"/>
    <col min="11781" max="11781" width="5.875" style="182" customWidth="1"/>
    <col min="11782" max="11782" width="6.375" style="182" customWidth="1"/>
    <col min="11783" max="11783" width="5.75" style="182" customWidth="1"/>
    <col min="11784" max="11784" width="11.875" style="182" customWidth="1"/>
    <col min="11785" max="11785" width="8.5" style="182" customWidth="1"/>
    <col min="11786" max="11786" width="9" style="182"/>
    <col min="11787" max="11787" width="12.25" style="182" customWidth="1"/>
    <col min="11788" max="11788" width="11.625" style="182" bestFit="1" customWidth="1"/>
    <col min="11789" max="11789" width="11.625" style="182" customWidth="1"/>
    <col min="11790" max="11790" width="7.875" style="182" customWidth="1"/>
    <col min="11791" max="11793" width="7.75" style="182" customWidth="1"/>
    <col min="11794" max="11794" width="14.125" style="182" customWidth="1"/>
    <col min="11795" max="12032" width="9" style="182"/>
    <col min="12033" max="12033" width="8.125" style="182" customWidth="1"/>
    <col min="12034" max="12034" width="6.25" style="182" customWidth="1"/>
    <col min="12035" max="12035" width="6.375" style="182" customWidth="1"/>
    <col min="12036" max="12036" width="5.375" style="182" customWidth="1"/>
    <col min="12037" max="12037" width="5.875" style="182" customWidth="1"/>
    <col min="12038" max="12038" width="6.375" style="182" customWidth="1"/>
    <col min="12039" max="12039" width="5.75" style="182" customWidth="1"/>
    <col min="12040" max="12040" width="11.875" style="182" customWidth="1"/>
    <col min="12041" max="12041" width="8.5" style="182" customWidth="1"/>
    <col min="12042" max="12042" width="9" style="182"/>
    <col min="12043" max="12043" width="12.25" style="182" customWidth="1"/>
    <col min="12044" max="12044" width="11.625" style="182" bestFit="1" customWidth="1"/>
    <col min="12045" max="12045" width="11.625" style="182" customWidth="1"/>
    <col min="12046" max="12046" width="7.875" style="182" customWidth="1"/>
    <col min="12047" max="12049" width="7.75" style="182" customWidth="1"/>
    <col min="12050" max="12050" width="14.125" style="182" customWidth="1"/>
    <col min="12051" max="12288" width="9" style="182"/>
    <col min="12289" max="12289" width="8.125" style="182" customWidth="1"/>
    <col min="12290" max="12290" width="6.25" style="182" customWidth="1"/>
    <col min="12291" max="12291" width="6.375" style="182" customWidth="1"/>
    <col min="12292" max="12292" width="5.375" style="182" customWidth="1"/>
    <col min="12293" max="12293" width="5.875" style="182" customWidth="1"/>
    <col min="12294" max="12294" width="6.375" style="182" customWidth="1"/>
    <col min="12295" max="12295" width="5.75" style="182" customWidth="1"/>
    <col min="12296" max="12296" width="11.875" style="182" customWidth="1"/>
    <col min="12297" max="12297" width="8.5" style="182" customWidth="1"/>
    <col min="12298" max="12298" width="9" style="182"/>
    <col min="12299" max="12299" width="12.25" style="182" customWidth="1"/>
    <col min="12300" max="12300" width="11.625" style="182" bestFit="1" customWidth="1"/>
    <col min="12301" max="12301" width="11.625" style="182" customWidth="1"/>
    <col min="12302" max="12302" width="7.875" style="182" customWidth="1"/>
    <col min="12303" max="12305" width="7.75" style="182" customWidth="1"/>
    <col min="12306" max="12306" width="14.125" style="182" customWidth="1"/>
    <col min="12307" max="12544" width="9" style="182"/>
    <col min="12545" max="12545" width="8.125" style="182" customWidth="1"/>
    <col min="12546" max="12546" width="6.25" style="182" customWidth="1"/>
    <col min="12547" max="12547" width="6.375" style="182" customWidth="1"/>
    <col min="12548" max="12548" width="5.375" style="182" customWidth="1"/>
    <col min="12549" max="12549" width="5.875" style="182" customWidth="1"/>
    <col min="12550" max="12550" width="6.375" style="182" customWidth="1"/>
    <col min="12551" max="12551" width="5.75" style="182" customWidth="1"/>
    <col min="12552" max="12552" width="11.875" style="182" customWidth="1"/>
    <col min="12553" max="12553" width="8.5" style="182" customWidth="1"/>
    <col min="12554" max="12554" width="9" style="182"/>
    <col min="12555" max="12555" width="12.25" style="182" customWidth="1"/>
    <col min="12556" max="12556" width="11.625" style="182" bestFit="1" customWidth="1"/>
    <col min="12557" max="12557" width="11.625" style="182" customWidth="1"/>
    <col min="12558" max="12558" width="7.875" style="182" customWidth="1"/>
    <col min="12559" max="12561" width="7.75" style="182" customWidth="1"/>
    <col min="12562" max="12562" width="14.125" style="182" customWidth="1"/>
    <col min="12563" max="12800" width="9" style="182"/>
    <col min="12801" max="12801" width="8.125" style="182" customWidth="1"/>
    <col min="12802" max="12802" width="6.25" style="182" customWidth="1"/>
    <col min="12803" max="12803" width="6.375" style="182" customWidth="1"/>
    <col min="12804" max="12804" width="5.375" style="182" customWidth="1"/>
    <col min="12805" max="12805" width="5.875" style="182" customWidth="1"/>
    <col min="12806" max="12806" width="6.375" style="182" customWidth="1"/>
    <col min="12807" max="12807" width="5.75" style="182" customWidth="1"/>
    <col min="12808" max="12808" width="11.875" style="182" customWidth="1"/>
    <col min="12809" max="12809" width="8.5" style="182" customWidth="1"/>
    <col min="12810" max="12810" width="9" style="182"/>
    <col min="12811" max="12811" width="12.25" style="182" customWidth="1"/>
    <col min="12812" max="12812" width="11.625" style="182" bestFit="1" customWidth="1"/>
    <col min="12813" max="12813" width="11.625" style="182" customWidth="1"/>
    <col min="12814" max="12814" width="7.875" style="182" customWidth="1"/>
    <col min="12815" max="12817" width="7.75" style="182" customWidth="1"/>
    <col min="12818" max="12818" width="14.125" style="182" customWidth="1"/>
    <col min="12819" max="13056" width="9" style="182"/>
    <col min="13057" max="13057" width="8.125" style="182" customWidth="1"/>
    <col min="13058" max="13058" width="6.25" style="182" customWidth="1"/>
    <col min="13059" max="13059" width="6.375" style="182" customWidth="1"/>
    <col min="13060" max="13060" width="5.375" style="182" customWidth="1"/>
    <col min="13061" max="13061" width="5.875" style="182" customWidth="1"/>
    <col min="13062" max="13062" width="6.375" style="182" customWidth="1"/>
    <col min="13063" max="13063" width="5.75" style="182" customWidth="1"/>
    <col min="13064" max="13064" width="11.875" style="182" customWidth="1"/>
    <col min="13065" max="13065" width="8.5" style="182" customWidth="1"/>
    <col min="13066" max="13066" width="9" style="182"/>
    <col min="13067" max="13067" width="12.25" style="182" customWidth="1"/>
    <col min="13068" max="13068" width="11.625" style="182" bestFit="1" customWidth="1"/>
    <col min="13069" max="13069" width="11.625" style="182" customWidth="1"/>
    <col min="13070" max="13070" width="7.875" style="182" customWidth="1"/>
    <col min="13071" max="13073" width="7.75" style="182" customWidth="1"/>
    <col min="13074" max="13074" width="14.125" style="182" customWidth="1"/>
    <col min="13075" max="13312" width="9" style="182"/>
    <col min="13313" max="13313" width="8.125" style="182" customWidth="1"/>
    <col min="13314" max="13314" width="6.25" style="182" customWidth="1"/>
    <col min="13315" max="13315" width="6.375" style="182" customWidth="1"/>
    <col min="13316" max="13316" width="5.375" style="182" customWidth="1"/>
    <col min="13317" max="13317" width="5.875" style="182" customWidth="1"/>
    <col min="13318" max="13318" width="6.375" style="182" customWidth="1"/>
    <col min="13319" max="13319" width="5.75" style="182" customWidth="1"/>
    <col min="13320" max="13320" width="11.875" style="182" customWidth="1"/>
    <col min="13321" max="13321" width="8.5" style="182" customWidth="1"/>
    <col min="13322" max="13322" width="9" style="182"/>
    <col min="13323" max="13323" width="12.25" style="182" customWidth="1"/>
    <col min="13324" max="13324" width="11.625" style="182" bestFit="1" customWidth="1"/>
    <col min="13325" max="13325" width="11.625" style="182" customWidth="1"/>
    <col min="13326" max="13326" width="7.875" style="182" customWidth="1"/>
    <col min="13327" max="13329" width="7.75" style="182" customWidth="1"/>
    <col min="13330" max="13330" width="14.125" style="182" customWidth="1"/>
    <col min="13331" max="13568" width="9" style="182"/>
    <col min="13569" max="13569" width="8.125" style="182" customWidth="1"/>
    <col min="13570" max="13570" width="6.25" style="182" customWidth="1"/>
    <col min="13571" max="13571" width="6.375" style="182" customWidth="1"/>
    <col min="13572" max="13572" width="5.375" style="182" customWidth="1"/>
    <col min="13573" max="13573" width="5.875" style="182" customWidth="1"/>
    <col min="13574" max="13574" width="6.375" style="182" customWidth="1"/>
    <col min="13575" max="13575" width="5.75" style="182" customWidth="1"/>
    <col min="13576" max="13576" width="11.875" style="182" customWidth="1"/>
    <col min="13577" max="13577" width="8.5" style="182" customWidth="1"/>
    <col min="13578" max="13578" width="9" style="182"/>
    <col min="13579" max="13579" width="12.25" style="182" customWidth="1"/>
    <col min="13580" max="13580" width="11.625" style="182" bestFit="1" customWidth="1"/>
    <col min="13581" max="13581" width="11.625" style="182" customWidth="1"/>
    <col min="13582" max="13582" width="7.875" style="182" customWidth="1"/>
    <col min="13583" max="13585" width="7.75" style="182" customWidth="1"/>
    <col min="13586" max="13586" width="14.125" style="182" customWidth="1"/>
    <col min="13587" max="13824" width="9" style="182"/>
    <col min="13825" max="13825" width="8.125" style="182" customWidth="1"/>
    <col min="13826" max="13826" width="6.25" style="182" customWidth="1"/>
    <col min="13827" max="13827" width="6.375" style="182" customWidth="1"/>
    <col min="13828" max="13828" width="5.375" style="182" customWidth="1"/>
    <col min="13829" max="13829" width="5.875" style="182" customWidth="1"/>
    <col min="13830" max="13830" width="6.375" style="182" customWidth="1"/>
    <col min="13831" max="13831" width="5.75" style="182" customWidth="1"/>
    <col min="13832" max="13832" width="11.875" style="182" customWidth="1"/>
    <col min="13833" max="13833" width="8.5" style="182" customWidth="1"/>
    <col min="13834" max="13834" width="9" style="182"/>
    <col min="13835" max="13835" width="12.25" style="182" customWidth="1"/>
    <col min="13836" max="13836" width="11.625" style="182" bestFit="1" customWidth="1"/>
    <col min="13837" max="13837" width="11.625" style="182" customWidth="1"/>
    <col min="13838" max="13838" width="7.875" style="182" customWidth="1"/>
    <col min="13839" max="13841" width="7.75" style="182" customWidth="1"/>
    <col min="13842" max="13842" width="14.125" style="182" customWidth="1"/>
    <col min="13843" max="14080" width="9" style="182"/>
    <col min="14081" max="14081" width="8.125" style="182" customWidth="1"/>
    <col min="14082" max="14082" width="6.25" style="182" customWidth="1"/>
    <col min="14083" max="14083" width="6.375" style="182" customWidth="1"/>
    <col min="14084" max="14084" width="5.375" style="182" customWidth="1"/>
    <col min="14085" max="14085" width="5.875" style="182" customWidth="1"/>
    <col min="14086" max="14086" width="6.375" style="182" customWidth="1"/>
    <col min="14087" max="14087" width="5.75" style="182" customWidth="1"/>
    <col min="14088" max="14088" width="11.875" style="182" customWidth="1"/>
    <col min="14089" max="14089" width="8.5" style="182" customWidth="1"/>
    <col min="14090" max="14090" width="9" style="182"/>
    <col min="14091" max="14091" width="12.25" style="182" customWidth="1"/>
    <col min="14092" max="14092" width="11.625" style="182" bestFit="1" customWidth="1"/>
    <col min="14093" max="14093" width="11.625" style="182" customWidth="1"/>
    <col min="14094" max="14094" width="7.875" style="182" customWidth="1"/>
    <col min="14095" max="14097" width="7.75" style="182" customWidth="1"/>
    <col min="14098" max="14098" width="14.125" style="182" customWidth="1"/>
    <col min="14099" max="14336" width="9" style="182"/>
    <col min="14337" max="14337" width="8.125" style="182" customWidth="1"/>
    <col min="14338" max="14338" width="6.25" style="182" customWidth="1"/>
    <col min="14339" max="14339" width="6.375" style="182" customWidth="1"/>
    <col min="14340" max="14340" width="5.375" style="182" customWidth="1"/>
    <col min="14341" max="14341" width="5.875" style="182" customWidth="1"/>
    <col min="14342" max="14342" width="6.375" style="182" customWidth="1"/>
    <col min="14343" max="14343" width="5.75" style="182" customWidth="1"/>
    <col min="14344" max="14344" width="11.875" style="182" customWidth="1"/>
    <col min="14345" max="14345" width="8.5" style="182" customWidth="1"/>
    <col min="14346" max="14346" width="9" style="182"/>
    <col min="14347" max="14347" width="12.25" style="182" customWidth="1"/>
    <col min="14348" max="14348" width="11.625" style="182" bestFit="1" customWidth="1"/>
    <col min="14349" max="14349" width="11.625" style="182" customWidth="1"/>
    <col min="14350" max="14350" width="7.875" style="182" customWidth="1"/>
    <col min="14351" max="14353" width="7.75" style="182" customWidth="1"/>
    <col min="14354" max="14354" width="14.125" style="182" customWidth="1"/>
    <col min="14355" max="14592" width="9" style="182"/>
    <col min="14593" max="14593" width="8.125" style="182" customWidth="1"/>
    <col min="14594" max="14594" width="6.25" style="182" customWidth="1"/>
    <col min="14595" max="14595" width="6.375" style="182" customWidth="1"/>
    <col min="14596" max="14596" width="5.375" style="182" customWidth="1"/>
    <col min="14597" max="14597" width="5.875" style="182" customWidth="1"/>
    <col min="14598" max="14598" width="6.375" style="182" customWidth="1"/>
    <col min="14599" max="14599" width="5.75" style="182" customWidth="1"/>
    <col min="14600" max="14600" width="11.875" style="182" customWidth="1"/>
    <col min="14601" max="14601" width="8.5" style="182" customWidth="1"/>
    <col min="14602" max="14602" width="9" style="182"/>
    <col min="14603" max="14603" width="12.25" style="182" customWidth="1"/>
    <col min="14604" max="14604" width="11.625" style="182" bestFit="1" customWidth="1"/>
    <col min="14605" max="14605" width="11.625" style="182" customWidth="1"/>
    <col min="14606" max="14606" width="7.875" style="182" customWidth="1"/>
    <col min="14607" max="14609" width="7.75" style="182" customWidth="1"/>
    <col min="14610" max="14610" width="14.125" style="182" customWidth="1"/>
    <col min="14611" max="14848" width="9" style="182"/>
    <col min="14849" max="14849" width="8.125" style="182" customWidth="1"/>
    <col min="14850" max="14850" width="6.25" style="182" customWidth="1"/>
    <col min="14851" max="14851" width="6.375" style="182" customWidth="1"/>
    <col min="14852" max="14852" width="5.375" style="182" customWidth="1"/>
    <col min="14853" max="14853" width="5.875" style="182" customWidth="1"/>
    <col min="14854" max="14854" width="6.375" style="182" customWidth="1"/>
    <col min="14855" max="14855" width="5.75" style="182" customWidth="1"/>
    <col min="14856" max="14856" width="11.875" style="182" customWidth="1"/>
    <col min="14857" max="14857" width="8.5" style="182" customWidth="1"/>
    <col min="14858" max="14858" width="9" style="182"/>
    <col min="14859" max="14859" width="12.25" style="182" customWidth="1"/>
    <col min="14860" max="14860" width="11.625" style="182" bestFit="1" customWidth="1"/>
    <col min="14861" max="14861" width="11.625" style="182" customWidth="1"/>
    <col min="14862" max="14862" width="7.875" style="182" customWidth="1"/>
    <col min="14863" max="14865" width="7.75" style="182" customWidth="1"/>
    <col min="14866" max="14866" width="14.125" style="182" customWidth="1"/>
    <col min="14867" max="15104" width="9" style="182"/>
    <col min="15105" max="15105" width="8.125" style="182" customWidth="1"/>
    <col min="15106" max="15106" width="6.25" style="182" customWidth="1"/>
    <col min="15107" max="15107" width="6.375" style="182" customWidth="1"/>
    <col min="15108" max="15108" width="5.375" style="182" customWidth="1"/>
    <col min="15109" max="15109" width="5.875" style="182" customWidth="1"/>
    <col min="15110" max="15110" width="6.375" style="182" customWidth="1"/>
    <col min="15111" max="15111" width="5.75" style="182" customWidth="1"/>
    <col min="15112" max="15112" width="11.875" style="182" customWidth="1"/>
    <col min="15113" max="15113" width="8.5" style="182" customWidth="1"/>
    <col min="15114" max="15114" width="9" style="182"/>
    <col min="15115" max="15115" width="12.25" style="182" customWidth="1"/>
    <col min="15116" max="15116" width="11.625" style="182" bestFit="1" customWidth="1"/>
    <col min="15117" max="15117" width="11.625" style="182" customWidth="1"/>
    <col min="15118" max="15118" width="7.875" style="182" customWidth="1"/>
    <col min="15119" max="15121" width="7.75" style="182" customWidth="1"/>
    <col min="15122" max="15122" width="14.125" style="182" customWidth="1"/>
    <col min="15123" max="15360" width="9" style="182"/>
    <col min="15361" max="15361" width="8.125" style="182" customWidth="1"/>
    <col min="15362" max="15362" width="6.25" style="182" customWidth="1"/>
    <col min="15363" max="15363" width="6.375" style="182" customWidth="1"/>
    <col min="15364" max="15364" width="5.375" style="182" customWidth="1"/>
    <col min="15365" max="15365" width="5.875" style="182" customWidth="1"/>
    <col min="15366" max="15366" width="6.375" style="182" customWidth="1"/>
    <col min="15367" max="15367" width="5.75" style="182" customWidth="1"/>
    <col min="15368" max="15368" width="11.875" style="182" customWidth="1"/>
    <col min="15369" max="15369" width="8.5" style="182" customWidth="1"/>
    <col min="15370" max="15370" width="9" style="182"/>
    <col min="15371" max="15371" width="12.25" style="182" customWidth="1"/>
    <col min="15372" max="15372" width="11.625" style="182" bestFit="1" customWidth="1"/>
    <col min="15373" max="15373" width="11.625" style="182" customWidth="1"/>
    <col min="15374" max="15374" width="7.875" style="182" customWidth="1"/>
    <col min="15375" max="15377" width="7.75" style="182" customWidth="1"/>
    <col min="15378" max="15378" width="14.125" style="182" customWidth="1"/>
    <col min="15379" max="15616" width="9" style="182"/>
    <col min="15617" max="15617" width="8.125" style="182" customWidth="1"/>
    <col min="15618" max="15618" width="6.25" style="182" customWidth="1"/>
    <col min="15619" max="15619" width="6.375" style="182" customWidth="1"/>
    <col min="15620" max="15620" width="5.375" style="182" customWidth="1"/>
    <col min="15621" max="15621" width="5.875" style="182" customWidth="1"/>
    <col min="15622" max="15622" width="6.375" style="182" customWidth="1"/>
    <col min="15623" max="15623" width="5.75" style="182" customWidth="1"/>
    <col min="15624" max="15624" width="11.875" style="182" customWidth="1"/>
    <col min="15625" max="15625" width="8.5" style="182" customWidth="1"/>
    <col min="15626" max="15626" width="9" style="182"/>
    <col min="15627" max="15627" width="12.25" style="182" customWidth="1"/>
    <col min="15628" max="15628" width="11.625" style="182" bestFit="1" customWidth="1"/>
    <col min="15629" max="15629" width="11.625" style="182" customWidth="1"/>
    <col min="15630" max="15630" width="7.875" style="182" customWidth="1"/>
    <col min="15631" max="15633" width="7.75" style="182" customWidth="1"/>
    <col min="15634" max="15634" width="14.125" style="182" customWidth="1"/>
    <col min="15635" max="15872" width="9" style="182"/>
    <col min="15873" max="15873" width="8.125" style="182" customWidth="1"/>
    <col min="15874" max="15874" width="6.25" style="182" customWidth="1"/>
    <col min="15875" max="15875" width="6.375" style="182" customWidth="1"/>
    <col min="15876" max="15876" width="5.375" style="182" customWidth="1"/>
    <col min="15877" max="15877" width="5.875" style="182" customWidth="1"/>
    <col min="15878" max="15878" width="6.375" style="182" customWidth="1"/>
    <col min="15879" max="15879" width="5.75" style="182" customWidth="1"/>
    <col min="15880" max="15880" width="11.875" style="182" customWidth="1"/>
    <col min="15881" max="15881" width="8.5" style="182" customWidth="1"/>
    <col min="15882" max="15882" width="9" style="182"/>
    <col min="15883" max="15883" width="12.25" style="182" customWidth="1"/>
    <col min="15884" max="15884" width="11.625" style="182" bestFit="1" customWidth="1"/>
    <col min="15885" max="15885" width="11.625" style="182" customWidth="1"/>
    <col min="15886" max="15886" width="7.875" style="182" customWidth="1"/>
    <col min="15887" max="15889" width="7.75" style="182" customWidth="1"/>
    <col min="15890" max="15890" width="14.125" style="182" customWidth="1"/>
    <col min="15891" max="16128" width="9" style="182"/>
    <col min="16129" max="16129" width="8.125" style="182" customWidth="1"/>
    <col min="16130" max="16130" width="6.25" style="182" customWidth="1"/>
    <col min="16131" max="16131" width="6.375" style="182" customWidth="1"/>
    <col min="16132" max="16132" width="5.375" style="182" customWidth="1"/>
    <col min="16133" max="16133" width="5.875" style="182" customWidth="1"/>
    <col min="16134" max="16134" width="6.375" style="182" customWidth="1"/>
    <col min="16135" max="16135" width="5.75" style="182" customWidth="1"/>
    <col min="16136" max="16136" width="11.875" style="182" customWidth="1"/>
    <col min="16137" max="16137" width="8.5" style="182" customWidth="1"/>
    <col min="16138" max="16138" width="9" style="182"/>
    <col min="16139" max="16139" width="12.25" style="182" customWidth="1"/>
    <col min="16140" max="16140" width="11.625" style="182" bestFit="1" customWidth="1"/>
    <col min="16141" max="16141" width="11.625" style="182" customWidth="1"/>
    <col min="16142" max="16142" width="7.875" style="182" customWidth="1"/>
    <col min="16143" max="16145" width="7.75" style="182" customWidth="1"/>
    <col min="16146" max="16146" width="14.125" style="182" customWidth="1"/>
    <col min="16147" max="16384" width="9" style="182"/>
  </cols>
  <sheetData>
    <row r="1" spans="1:18" ht="16.5" customHeight="1">
      <c r="A1" s="181"/>
      <c r="B1" s="181"/>
      <c r="C1" s="181"/>
      <c r="D1" s="181"/>
      <c r="E1" s="181"/>
    </row>
    <row r="2" spans="1:18" ht="14.25" customHeight="1">
      <c r="A2" s="186"/>
      <c r="B2" s="186"/>
      <c r="C2" s="186"/>
      <c r="D2" s="186"/>
      <c r="E2" s="181"/>
      <c r="F2" s="891" t="s">
        <v>851</v>
      </c>
      <c r="G2" s="891"/>
      <c r="H2" s="891"/>
      <c r="I2" s="891"/>
      <c r="J2" s="891"/>
      <c r="K2" s="891"/>
    </row>
    <row r="3" spans="1:18" ht="18.75">
      <c r="A3" s="892" t="s">
        <v>624</v>
      </c>
      <c r="B3" s="892"/>
      <c r="C3" s="892"/>
      <c r="D3" s="892"/>
      <c r="E3" s="892"/>
      <c r="F3" s="892"/>
      <c r="G3" s="892"/>
      <c r="H3" s="892"/>
      <c r="I3" s="892"/>
      <c r="J3" s="892"/>
      <c r="K3" s="892"/>
    </row>
    <row r="4" spans="1:18" ht="18" customHeight="1">
      <c r="A4" s="863" t="s">
        <v>625</v>
      </c>
      <c r="B4" s="863"/>
      <c r="C4" s="893" t="e">
        <f>#REF!</f>
        <v>#REF!</v>
      </c>
      <c r="D4" s="894"/>
      <c r="E4" s="894"/>
      <c r="F4" s="895" t="s">
        <v>454</v>
      </c>
      <c r="G4" s="895"/>
      <c r="H4" s="894" t="e">
        <f>#REF!</f>
        <v>#REF!</v>
      </c>
      <c r="I4" s="894"/>
      <c r="J4" s="187" t="s">
        <v>626</v>
      </c>
      <c r="K4" s="188" t="str">
        <f>SUM(G10:G36)&amp;"块"</f>
        <v>0块</v>
      </c>
      <c r="R4" s="189"/>
    </row>
    <row r="5" spans="1:18" ht="19.5" customHeight="1">
      <c r="A5" s="896" t="s">
        <v>627</v>
      </c>
      <c r="B5" s="895"/>
      <c r="C5" s="897" t="e">
        <f>#REF!</f>
        <v>#REF!</v>
      </c>
      <c r="D5" s="897"/>
      <c r="E5" s="897"/>
      <c r="F5" s="895" t="s">
        <v>628</v>
      </c>
      <c r="G5" s="895"/>
      <c r="H5" s="898" t="s">
        <v>629</v>
      </c>
      <c r="I5" s="899"/>
      <c r="J5" s="190" t="s">
        <v>630</v>
      </c>
      <c r="K5" s="191" t="e">
        <f>#REF!</f>
        <v>#REF!</v>
      </c>
      <c r="R5" s="189"/>
    </row>
    <row r="6" spans="1:18" ht="22.5" customHeight="1">
      <c r="A6" s="895" t="s">
        <v>631</v>
      </c>
      <c r="B6" s="895"/>
      <c r="C6" s="900" t="s">
        <v>632</v>
      </c>
      <c r="D6" s="900"/>
      <c r="E6" s="900"/>
      <c r="F6" s="901"/>
      <c r="G6" s="901"/>
      <c r="H6" s="901"/>
      <c r="I6" s="901"/>
      <c r="J6" s="190" t="s">
        <v>633</v>
      </c>
      <c r="K6" s="192" t="s">
        <v>634</v>
      </c>
      <c r="R6" s="189"/>
    </row>
    <row r="7" spans="1:18" ht="24" customHeight="1" thickBot="1">
      <c r="A7" s="878" t="s">
        <v>635</v>
      </c>
      <c r="B7" s="878"/>
      <c r="C7" s="878"/>
      <c r="D7" s="878"/>
      <c r="E7" s="878"/>
      <c r="F7" s="878"/>
      <c r="G7" s="878"/>
      <c r="H7" s="878"/>
      <c r="I7" s="878"/>
      <c r="J7" s="878"/>
      <c r="K7" s="878"/>
      <c r="R7" s="189"/>
    </row>
    <row r="8" spans="1:18" ht="18" customHeight="1">
      <c r="A8" s="193" t="s">
        <v>636</v>
      </c>
      <c r="B8" s="879" t="s">
        <v>637</v>
      </c>
      <c r="C8" s="879"/>
      <c r="D8" s="879"/>
      <c r="E8" s="880" t="s">
        <v>638</v>
      </c>
      <c r="F8" s="880"/>
      <c r="G8" s="881"/>
      <c r="H8" s="194" t="s">
        <v>639</v>
      </c>
      <c r="I8" s="882" t="s">
        <v>640</v>
      </c>
      <c r="J8" s="882"/>
      <c r="K8" s="883"/>
      <c r="L8" s="884" t="s">
        <v>641</v>
      </c>
      <c r="M8" s="885"/>
      <c r="N8" s="886"/>
      <c r="R8" s="189"/>
    </row>
    <row r="9" spans="1:18" ht="22.5" customHeight="1">
      <c r="A9" s="195" t="s">
        <v>642</v>
      </c>
      <c r="B9" s="196" t="s">
        <v>461</v>
      </c>
      <c r="C9" s="196" t="s">
        <v>643</v>
      </c>
      <c r="D9" s="196" t="s">
        <v>644</v>
      </c>
      <c r="E9" s="196" t="s">
        <v>645</v>
      </c>
      <c r="F9" s="196" t="s">
        <v>643</v>
      </c>
      <c r="G9" s="196" t="s">
        <v>644</v>
      </c>
      <c r="H9" s="888" t="s">
        <v>646</v>
      </c>
      <c r="I9" s="889"/>
      <c r="J9" s="888"/>
      <c r="K9" s="890"/>
      <c r="L9" s="197" t="s">
        <v>647</v>
      </c>
      <c r="M9" s="198" t="s">
        <v>648</v>
      </c>
      <c r="N9" s="199" t="s">
        <v>649</v>
      </c>
      <c r="O9" s="200" t="s">
        <v>650</v>
      </c>
      <c r="P9" s="200" t="s">
        <v>651</v>
      </c>
      <c r="Q9" s="201" t="s">
        <v>652</v>
      </c>
      <c r="R9" s="189"/>
    </row>
    <row r="10" spans="1:18" ht="17.100000000000001" customHeight="1">
      <c r="A10" s="202"/>
      <c r="B10" s="203"/>
      <c r="C10" s="203"/>
      <c r="D10" s="204"/>
      <c r="E10" s="205" t="str">
        <f>+IF(C10="","",C10-1)</f>
        <v/>
      </c>
      <c r="F10" s="205" t="str">
        <f>+IF(B10="","",B10-1)</f>
        <v/>
      </c>
      <c r="G10" s="205" t="str">
        <f>+IF(D10="","",D10)</f>
        <v/>
      </c>
      <c r="H10" s="887"/>
      <c r="I10" s="868"/>
      <c r="J10" s="874"/>
      <c r="K10" s="875"/>
      <c r="L10" s="183">
        <f t="shared" ref="L10:L35" si="0">B10*C10*D10/1000000</f>
        <v>0</v>
      </c>
      <c r="M10" s="184" t="str">
        <f t="shared" ref="M10:M35" si="1">+IF(D10&gt;0,((B10+C10)*2+240)*G10/1000,"")</f>
        <v/>
      </c>
      <c r="N10" s="184">
        <f>B10*C10*D10/1000000/1.2/2.4/0.85</f>
        <v>0</v>
      </c>
      <c r="O10" s="184">
        <f>(B10*C10*D10/1000000)+((B10+C10)*2*D10/1000)*0.02</f>
        <v>0</v>
      </c>
      <c r="P10" s="184">
        <f>(B10*C10*D10/1000000)*2+((B10+C10)*2*D10/1000)*0.02</f>
        <v>0</v>
      </c>
      <c r="Q10" s="184" t="str">
        <f>+IF(H10=$L$8,B10*D10/1000+0.1,"")</f>
        <v/>
      </c>
      <c r="R10" s="189"/>
    </row>
    <row r="11" spans="1:18" ht="17.100000000000001" customHeight="1">
      <c r="A11" s="202"/>
      <c r="B11" s="203"/>
      <c r="C11" s="203"/>
      <c r="D11" s="204"/>
      <c r="E11" s="205" t="str">
        <f t="shared" ref="E11:E35" si="2">+IF(C11="","",C11-1)</f>
        <v/>
      </c>
      <c r="F11" s="205" t="str">
        <f t="shared" ref="F11:F35" si="3">+IF(B11="","",B11-1)</f>
        <v/>
      </c>
      <c r="G11" s="205" t="str">
        <f t="shared" ref="G11:G35" si="4">+IF(D11="","",D11)</f>
        <v/>
      </c>
      <c r="H11" s="867"/>
      <c r="I11" s="868"/>
      <c r="J11" s="874"/>
      <c r="K11" s="875"/>
      <c r="L11" s="183">
        <f t="shared" si="0"/>
        <v>0</v>
      </c>
      <c r="M11" s="184" t="str">
        <f t="shared" si="1"/>
        <v/>
      </c>
      <c r="N11" s="184">
        <f t="shared" ref="N11:N36" si="5">B11*C11*D11/1000000/1.2/2.4/0.85</f>
        <v>0</v>
      </c>
      <c r="O11" s="184">
        <f t="shared" ref="O11:O35" si="6">(B11*C11*D11/1000000)+((B11+C11)*2*D11/1000)*0.02</f>
        <v>0</v>
      </c>
      <c r="P11" s="184">
        <f t="shared" ref="P11:P35" si="7">(B11*C11*D11/1000000)*2+((B11+C11)*2*D11/1000)*0.02</f>
        <v>0</v>
      </c>
      <c r="Q11" s="184" t="str">
        <f t="shared" ref="Q11:Q30" si="8">+IF(H11=$L$8,B11*D11/1000+0.1,"")</f>
        <v/>
      </c>
      <c r="R11" s="189"/>
    </row>
    <row r="12" spans="1:18" ht="17.100000000000001" customHeight="1">
      <c r="A12" s="202"/>
      <c r="B12" s="203"/>
      <c r="C12" s="203"/>
      <c r="D12" s="204"/>
      <c r="E12" s="205" t="str">
        <f t="shared" si="2"/>
        <v/>
      </c>
      <c r="F12" s="205" t="str">
        <f t="shared" si="3"/>
        <v/>
      </c>
      <c r="G12" s="205" t="str">
        <f t="shared" si="4"/>
        <v/>
      </c>
      <c r="H12" s="867"/>
      <c r="I12" s="868"/>
      <c r="J12" s="874"/>
      <c r="K12" s="875"/>
      <c r="L12" s="183">
        <f t="shared" si="0"/>
        <v>0</v>
      </c>
      <c r="M12" s="184" t="str">
        <f t="shared" si="1"/>
        <v/>
      </c>
      <c r="N12" s="184">
        <f t="shared" si="5"/>
        <v>0</v>
      </c>
      <c r="O12" s="184">
        <f t="shared" si="6"/>
        <v>0</v>
      </c>
      <c r="P12" s="184">
        <f t="shared" si="7"/>
        <v>0</v>
      </c>
      <c r="Q12" s="184" t="str">
        <f t="shared" si="8"/>
        <v/>
      </c>
      <c r="R12" s="189"/>
    </row>
    <row r="13" spans="1:18" ht="17.100000000000001" customHeight="1">
      <c r="A13" s="202"/>
      <c r="B13" s="203"/>
      <c r="C13" s="203"/>
      <c r="D13" s="204"/>
      <c r="E13" s="205" t="str">
        <f t="shared" si="2"/>
        <v/>
      </c>
      <c r="F13" s="205" t="str">
        <f t="shared" si="3"/>
        <v/>
      </c>
      <c r="G13" s="205" t="str">
        <f t="shared" si="4"/>
        <v/>
      </c>
      <c r="H13" s="867"/>
      <c r="I13" s="868"/>
      <c r="J13" s="874"/>
      <c r="K13" s="875"/>
      <c r="L13" s="183">
        <f t="shared" si="0"/>
        <v>0</v>
      </c>
      <c r="M13" s="184" t="str">
        <f t="shared" si="1"/>
        <v/>
      </c>
      <c r="N13" s="184">
        <f t="shared" si="5"/>
        <v>0</v>
      </c>
      <c r="O13" s="184">
        <f t="shared" si="6"/>
        <v>0</v>
      </c>
      <c r="P13" s="184">
        <f t="shared" si="7"/>
        <v>0</v>
      </c>
      <c r="Q13" s="184" t="str">
        <f t="shared" si="8"/>
        <v/>
      </c>
      <c r="R13" s="189"/>
    </row>
    <row r="14" spans="1:18" ht="17.100000000000001" customHeight="1">
      <c r="A14" s="202"/>
      <c r="B14" s="203"/>
      <c r="C14" s="203"/>
      <c r="D14" s="204"/>
      <c r="E14" s="205" t="str">
        <f t="shared" si="2"/>
        <v/>
      </c>
      <c r="F14" s="205" t="str">
        <f t="shared" si="3"/>
        <v/>
      </c>
      <c r="G14" s="205" t="str">
        <f t="shared" si="4"/>
        <v/>
      </c>
      <c r="H14" s="867"/>
      <c r="I14" s="868"/>
      <c r="J14" s="874"/>
      <c r="K14" s="875"/>
      <c r="L14" s="183">
        <f t="shared" si="0"/>
        <v>0</v>
      </c>
      <c r="M14" s="184" t="str">
        <f t="shared" si="1"/>
        <v/>
      </c>
      <c r="N14" s="184">
        <f t="shared" si="5"/>
        <v>0</v>
      </c>
      <c r="O14" s="184">
        <f t="shared" si="6"/>
        <v>0</v>
      </c>
      <c r="P14" s="184">
        <f t="shared" si="7"/>
        <v>0</v>
      </c>
      <c r="Q14" s="184" t="str">
        <f t="shared" si="8"/>
        <v/>
      </c>
    </row>
    <row r="15" spans="1:18" ht="17.100000000000001" customHeight="1">
      <c r="A15" s="202"/>
      <c r="B15" s="203"/>
      <c r="C15" s="203"/>
      <c r="D15" s="204"/>
      <c r="E15" s="205" t="str">
        <f t="shared" si="2"/>
        <v/>
      </c>
      <c r="F15" s="205" t="str">
        <f t="shared" si="3"/>
        <v/>
      </c>
      <c r="G15" s="205" t="str">
        <f t="shared" si="4"/>
        <v/>
      </c>
      <c r="H15" s="867"/>
      <c r="I15" s="868"/>
      <c r="J15" s="874"/>
      <c r="K15" s="875"/>
      <c r="L15" s="183">
        <f t="shared" si="0"/>
        <v>0</v>
      </c>
      <c r="M15" s="184" t="str">
        <f t="shared" si="1"/>
        <v/>
      </c>
      <c r="N15" s="184">
        <f t="shared" si="5"/>
        <v>0</v>
      </c>
      <c r="O15" s="184">
        <f t="shared" si="6"/>
        <v>0</v>
      </c>
      <c r="P15" s="184">
        <f t="shared" si="7"/>
        <v>0</v>
      </c>
      <c r="Q15" s="184" t="str">
        <f t="shared" si="8"/>
        <v/>
      </c>
    </row>
    <row r="16" spans="1:18" ht="17.100000000000001" customHeight="1">
      <c r="A16" s="202"/>
      <c r="B16" s="203"/>
      <c r="C16" s="203"/>
      <c r="D16" s="204"/>
      <c r="E16" s="205" t="str">
        <f t="shared" si="2"/>
        <v/>
      </c>
      <c r="F16" s="205" t="str">
        <f t="shared" si="3"/>
        <v/>
      </c>
      <c r="G16" s="205" t="str">
        <f t="shared" si="4"/>
        <v/>
      </c>
      <c r="H16" s="867"/>
      <c r="I16" s="868"/>
      <c r="J16" s="874"/>
      <c r="K16" s="875"/>
      <c r="L16" s="183">
        <f t="shared" si="0"/>
        <v>0</v>
      </c>
      <c r="M16" s="184" t="str">
        <f t="shared" si="1"/>
        <v/>
      </c>
      <c r="N16" s="184">
        <f t="shared" si="5"/>
        <v>0</v>
      </c>
      <c r="O16" s="184">
        <f t="shared" si="6"/>
        <v>0</v>
      </c>
      <c r="P16" s="184">
        <f t="shared" si="7"/>
        <v>0</v>
      </c>
      <c r="Q16" s="184" t="str">
        <f t="shared" si="8"/>
        <v/>
      </c>
    </row>
    <row r="17" spans="1:17" ht="17.100000000000001" customHeight="1">
      <c r="A17" s="202"/>
      <c r="B17" s="203"/>
      <c r="C17" s="203"/>
      <c r="D17" s="204"/>
      <c r="E17" s="205" t="str">
        <f t="shared" si="2"/>
        <v/>
      </c>
      <c r="F17" s="205" t="str">
        <f t="shared" si="3"/>
        <v/>
      </c>
      <c r="G17" s="205" t="str">
        <f t="shared" si="4"/>
        <v/>
      </c>
      <c r="H17" s="867"/>
      <c r="I17" s="868"/>
      <c r="J17" s="874"/>
      <c r="K17" s="875"/>
      <c r="L17" s="183">
        <f t="shared" si="0"/>
        <v>0</v>
      </c>
      <c r="M17" s="184" t="str">
        <f t="shared" si="1"/>
        <v/>
      </c>
      <c r="N17" s="184">
        <f t="shared" si="5"/>
        <v>0</v>
      </c>
      <c r="O17" s="184">
        <f t="shared" si="6"/>
        <v>0</v>
      </c>
      <c r="P17" s="184">
        <f t="shared" si="7"/>
        <v>0</v>
      </c>
      <c r="Q17" s="184" t="str">
        <f t="shared" si="8"/>
        <v/>
      </c>
    </row>
    <row r="18" spans="1:17" ht="17.100000000000001" customHeight="1">
      <c r="A18" s="202"/>
      <c r="B18" s="203"/>
      <c r="C18" s="203"/>
      <c r="D18" s="204"/>
      <c r="E18" s="205" t="str">
        <f t="shared" si="2"/>
        <v/>
      </c>
      <c r="F18" s="205" t="str">
        <f t="shared" si="3"/>
        <v/>
      </c>
      <c r="G18" s="205" t="str">
        <f t="shared" si="4"/>
        <v/>
      </c>
      <c r="H18" s="867"/>
      <c r="I18" s="868"/>
      <c r="J18" s="874"/>
      <c r="K18" s="875"/>
      <c r="L18" s="183">
        <f t="shared" si="0"/>
        <v>0</v>
      </c>
      <c r="M18" s="184" t="str">
        <f t="shared" si="1"/>
        <v/>
      </c>
      <c r="N18" s="184">
        <f t="shared" si="5"/>
        <v>0</v>
      </c>
      <c r="O18" s="184">
        <f t="shared" si="6"/>
        <v>0</v>
      </c>
      <c r="P18" s="184">
        <f t="shared" si="7"/>
        <v>0</v>
      </c>
      <c r="Q18" s="184" t="str">
        <f t="shared" si="8"/>
        <v/>
      </c>
    </row>
    <row r="19" spans="1:17" ht="17.100000000000001" customHeight="1">
      <c r="A19" s="202"/>
      <c r="B19" s="203"/>
      <c r="C19" s="203"/>
      <c r="D19" s="204"/>
      <c r="E19" s="205" t="str">
        <f t="shared" si="2"/>
        <v/>
      </c>
      <c r="F19" s="205" t="str">
        <f t="shared" si="3"/>
        <v/>
      </c>
      <c r="G19" s="205" t="str">
        <f t="shared" si="4"/>
        <v/>
      </c>
      <c r="H19" s="867"/>
      <c r="I19" s="868"/>
      <c r="J19" s="874"/>
      <c r="K19" s="875"/>
      <c r="L19" s="183">
        <f t="shared" si="0"/>
        <v>0</v>
      </c>
      <c r="M19" s="184" t="str">
        <f t="shared" si="1"/>
        <v/>
      </c>
      <c r="N19" s="184">
        <f t="shared" si="5"/>
        <v>0</v>
      </c>
      <c r="O19" s="184">
        <f t="shared" si="6"/>
        <v>0</v>
      </c>
      <c r="P19" s="184">
        <f t="shared" si="7"/>
        <v>0</v>
      </c>
      <c r="Q19" s="184" t="str">
        <f t="shared" si="8"/>
        <v/>
      </c>
    </row>
    <row r="20" spans="1:17" ht="17.100000000000001" customHeight="1">
      <c r="A20" s="202"/>
      <c r="B20" s="203"/>
      <c r="C20" s="203"/>
      <c r="D20" s="204"/>
      <c r="E20" s="205" t="str">
        <f t="shared" si="2"/>
        <v/>
      </c>
      <c r="F20" s="205" t="str">
        <f t="shared" si="3"/>
        <v/>
      </c>
      <c r="G20" s="205" t="str">
        <f t="shared" si="4"/>
        <v/>
      </c>
      <c r="H20" s="867"/>
      <c r="I20" s="868"/>
      <c r="J20" s="874"/>
      <c r="K20" s="875"/>
      <c r="L20" s="183">
        <f t="shared" si="0"/>
        <v>0</v>
      </c>
      <c r="M20" s="184" t="str">
        <f t="shared" si="1"/>
        <v/>
      </c>
      <c r="N20" s="184">
        <f t="shared" si="5"/>
        <v>0</v>
      </c>
      <c r="O20" s="184">
        <f t="shared" si="6"/>
        <v>0</v>
      </c>
      <c r="P20" s="184">
        <f t="shared" si="7"/>
        <v>0</v>
      </c>
      <c r="Q20" s="184" t="str">
        <f t="shared" si="8"/>
        <v/>
      </c>
    </row>
    <row r="21" spans="1:17" ht="17.100000000000001" customHeight="1">
      <c r="A21" s="202"/>
      <c r="B21" s="203"/>
      <c r="C21" s="203"/>
      <c r="D21" s="204"/>
      <c r="E21" s="205" t="str">
        <f t="shared" si="2"/>
        <v/>
      </c>
      <c r="F21" s="205" t="str">
        <f t="shared" si="3"/>
        <v/>
      </c>
      <c r="G21" s="205" t="str">
        <f t="shared" si="4"/>
        <v/>
      </c>
      <c r="H21" s="867"/>
      <c r="I21" s="868"/>
      <c r="J21" s="874"/>
      <c r="K21" s="875"/>
      <c r="L21" s="183">
        <f t="shared" si="0"/>
        <v>0</v>
      </c>
      <c r="M21" s="184" t="str">
        <f t="shared" si="1"/>
        <v/>
      </c>
      <c r="N21" s="184">
        <f t="shared" si="5"/>
        <v>0</v>
      </c>
      <c r="O21" s="184">
        <f t="shared" si="6"/>
        <v>0</v>
      </c>
      <c r="P21" s="184">
        <f t="shared" si="7"/>
        <v>0</v>
      </c>
      <c r="Q21" s="184" t="str">
        <f t="shared" si="8"/>
        <v/>
      </c>
    </row>
    <row r="22" spans="1:17" ht="17.100000000000001" customHeight="1">
      <c r="A22" s="206"/>
      <c r="B22" s="203"/>
      <c r="C22" s="203"/>
      <c r="D22" s="204"/>
      <c r="E22" s="205" t="str">
        <f t="shared" si="2"/>
        <v/>
      </c>
      <c r="F22" s="205" t="str">
        <f t="shared" si="3"/>
        <v/>
      </c>
      <c r="G22" s="205" t="str">
        <f t="shared" si="4"/>
        <v/>
      </c>
      <c r="H22" s="867"/>
      <c r="I22" s="868"/>
      <c r="J22" s="874"/>
      <c r="K22" s="875"/>
      <c r="L22" s="183">
        <f t="shared" si="0"/>
        <v>0</v>
      </c>
      <c r="M22" s="184" t="str">
        <f t="shared" si="1"/>
        <v/>
      </c>
      <c r="N22" s="184">
        <f t="shared" si="5"/>
        <v>0</v>
      </c>
      <c r="O22" s="184">
        <f t="shared" si="6"/>
        <v>0</v>
      </c>
      <c r="P22" s="184">
        <f t="shared" si="7"/>
        <v>0</v>
      </c>
      <c r="Q22" s="184" t="str">
        <f t="shared" si="8"/>
        <v/>
      </c>
    </row>
    <row r="23" spans="1:17" ht="17.100000000000001" customHeight="1">
      <c r="A23" s="206"/>
      <c r="B23" s="203"/>
      <c r="C23" s="203"/>
      <c r="D23" s="204"/>
      <c r="E23" s="205" t="str">
        <f t="shared" si="2"/>
        <v/>
      </c>
      <c r="F23" s="205" t="str">
        <f t="shared" si="3"/>
        <v/>
      </c>
      <c r="G23" s="205" t="str">
        <f t="shared" si="4"/>
        <v/>
      </c>
      <c r="H23" s="867"/>
      <c r="I23" s="868"/>
      <c r="J23" s="874"/>
      <c r="K23" s="875"/>
      <c r="L23" s="183">
        <f t="shared" si="0"/>
        <v>0</v>
      </c>
      <c r="M23" s="184" t="str">
        <f t="shared" si="1"/>
        <v/>
      </c>
      <c r="N23" s="184">
        <f t="shared" si="5"/>
        <v>0</v>
      </c>
      <c r="O23" s="184">
        <f t="shared" si="6"/>
        <v>0</v>
      </c>
      <c r="P23" s="184">
        <f t="shared" si="7"/>
        <v>0</v>
      </c>
      <c r="Q23" s="184" t="str">
        <f t="shared" si="8"/>
        <v/>
      </c>
    </row>
    <row r="24" spans="1:17" ht="17.100000000000001" customHeight="1">
      <c r="A24" s="206"/>
      <c r="B24" s="203"/>
      <c r="C24" s="203"/>
      <c r="D24" s="204"/>
      <c r="E24" s="205" t="str">
        <f t="shared" si="2"/>
        <v/>
      </c>
      <c r="F24" s="205" t="str">
        <f t="shared" si="3"/>
        <v/>
      </c>
      <c r="G24" s="205" t="str">
        <f t="shared" si="4"/>
        <v/>
      </c>
      <c r="H24" s="867"/>
      <c r="I24" s="868"/>
      <c r="J24" s="874"/>
      <c r="K24" s="875"/>
      <c r="L24" s="183">
        <f t="shared" si="0"/>
        <v>0</v>
      </c>
      <c r="M24" s="184" t="str">
        <f t="shared" si="1"/>
        <v/>
      </c>
      <c r="N24" s="184">
        <f t="shared" si="5"/>
        <v>0</v>
      </c>
      <c r="O24" s="184">
        <f t="shared" si="6"/>
        <v>0</v>
      </c>
      <c r="P24" s="184">
        <f t="shared" si="7"/>
        <v>0</v>
      </c>
      <c r="Q24" s="184" t="str">
        <f t="shared" si="8"/>
        <v/>
      </c>
    </row>
    <row r="25" spans="1:17" ht="17.100000000000001" customHeight="1">
      <c r="A25" s="206"/>
      <c r="B25" s="203"/>
      <c r="C25" s="203"/>
      <c r="D25" s="204"/>
      <c r="E25" s="205" t="str">
        <f t="shared" si="2"/>
        <v/>
      </c>
      <c r="F25" s="205" t="str">
        <f t="shared" si="3"/>
        <v/>
      </c>
      <c r="G25" s="205" t="str">
        <f t="shared" si="4"/>
        <v/>
      </c>
      <c r="H25" s="867"/>
      <c r="I25" s="868"/>
      <c r="J25" s="874"/>
      <c r="K25" s="875"/>
      <c r="L25" s="183">
        <f t="shared" si="0"/>
        <v>0</v>
      </c>
      <c r="M25" s="184" t="str">
        <f t="shared" si="1"/>
        <v/>
      </c>
      <c r="N25" s="184">
        <f t="shared" si="5"/>
        <v>0</v>
      </c>
      <c r="O25" s="184">
        <f t="shared" si="6"/>
        <v>0</v>
      </c>
      <c r="P25" s="184">
        <f t="shared" si="7"/>
        <v>0</v>
      </c>
      <c r="Q25" s="184" t="str">
        <f t="shared" si="8"/>
        <v/>
      </c>
    </row>
    <row r="26" spans="1:17" ht="17.100000000000001" customHeight="1">
      <c r="A26" s="206"/>
      <c r="B26" s="203"/>
      <c r="C26" s="203"/>
      <c r="D26" s="204"/>
      <c r="E26" s="205" t="str">
        <f t="shared" si="2"/>
        <v/>
      </c>
      <c r="F26" s="205" t="str">
        <f t="shared" si="3"/>
        <v/>
      </c>
      <c r="G26" s="205" t="str">
        <f t="shared" si="4"/>
        <v/>
      </c>
      <c r="H26" s="867"/>
      <c r="I26" s="868"/>
      <c r="J26" s="874"/>
      <c r="K26" s="875"/>
      <c r="L26" s="183">
        <f t="shared" si="0"/>
        <v>0</v>
      </c>
      <c r="M26" s="184" t="str">
        <f t="shared" si="1"/>
        <v/>
      </c>
      <c r="N26" s="184">
        <f t="shared" si="5"/>
        <v>0</v>
      </c>
      <c r="O26" s="184">
        <f t="shared" si="6"/>
        <v>0</v>
      </c>
      <c r="P26" s="184">
        <f t="shared" si="7"/>
        <v>0</v>
      </c>
      <c r="Q26" s="184" t="str">
        <f t="shared" si="8"/>
        <v/>
      </c>
    </row>
    <row r="27" spans="1:17" ht="17.100000000000001" customHeight="1">
      <c r="A27" s="206"/>
      <c r="B27" s="203"/>
      <c r="C27" s="203"/>
      <c r="D27" s="204"/>
      <c r="E27" s="205" t="str">
        <f t="shared" si="2"/>
        <v/>
      </c>
      <c r="F27" s="205" t="str">
        <f t="shared" si="3"/>
        <v/>
      </c>
      <c r="G27" s="205" t="str">
        <f t="shared" si="4"/>
        <v/>
      </c>
      <c r="H27" s="867"/>
      <c r="I27" s="868"/>
      <c r="J27" s="874"/>
      <c r="K27" s="875"/>
      <c r="L27" s="183">
        <f t="shared" si="0"/>
        <v>0</v>
      </c>
      <c r="M27" s="184" t="str">
        <f t="shared" si="1"/>
        <v/>
      </c>
      <c r="N27" s="184">
        <f t="shared" si="5"/>
        <v>0</v>
      </c>
      <c r="O27" s="184">
        <f t="shared" si="6"/>
        <v>0</v>
      </c>
      <c r="P27" s="184">
        <f t="shared" si="7"/>
        <v>0</v>
      </c>
      <c r="Q27" s="184" t="str">
        <f t="shared" si="8"/>
        <v/>
      </c>
    </row>
    <row r="28" spans="1:17" ht="17.100000000000001" customHeight="1">
      <c r="A28" s="207"/>
      <c r="B28" s="203"/>
      <c r="C28" s="203"/>
      <c r="D28" s="204"/>
      <c r="E28" s="205" t="str">
        <f t="shared" si="2"/>
        <v/>
      </c>
      <c r="F28" s="205" t="str">
        <f t="shared" si="3"/>
        <v/>
      </c>
      <c r="G28" s="205" t="str">
        <f t="shared" si="4"/>
        <v/>
      </c>
      <c r="H28" s="867"/>
      <c r="I28" s="868"/>
      <c r="J28" s="874"/>
      <c r="K28" s="875"/>
      <c r="L28" s="183">
        <f t="shared" si="0"/>
        <v>0</v>
      </c>
      <c r="M28" s="184" t="str">
        <f t="shared" si="1"/>
        <v/>
      </c>
      <c r="N28" s="184">
        <f t="shared" si="5"/>
        <v>0</v>
      </c>
      <c r="O28" s="184">
        <f t="shared" si="6"/>
        <v>0</v>
      </c>
      <c r="P28" s="184">
        <f t="shared" si="7"/>
        <v>0</v>
      </c>
      <c r="Q28" s="184" t="str">
        <f t="shared" si="8"/>
        <v/>
      </c>
    </row>
    <row r="29" spans="1:17" ht="17.100000000000001" customHeight="1">
      <c r="A29" s="208"/>
      <c r="B29" s="209"/>
      <c r="C29" s="209"/>
      <c r="D29" s="210"/>
      <c r="E29" s="205" t="str">
        <f t="shared" si="2"/>
        <v/>
      </c>
      <c r="F29" s="205" t="str">
        <f t="shared" si="3"/>
        <v/>
      </c>
      <c r="G29" s="205" t="str">
        <f t="shared" si="4"/>
        <v/>
      </c>
      <c r="H29" s="867"/>
      <c r="I29" s="868"/>
      <c r="J29" s="874"/>
      <c r="K29" s="875"/>
      <c r="L29" s="183">
        <f t="shared" si="0"/>
        <v>0</v>
      </c>
      <c r="M29" s="184" t="str">
        <f t="shared" si="1"/>
        <v/>
      </c>
      <c r="N29" s="184">
        <f t="shared" si="5"/>
        <v>0</v>
      </c>
      <c r="O29" s="184">
        <f t="shared" si="6"/>
        <v>0</v>
      </c>
      <c r="P29" s="184">
        <f t="shared" si="7"/>
        <v>0</v>
      </c>
      <c r="Q29" s="184" t="str">
        <f t="shared" si="8"/>
        <v/>
      </c>
    </row>
    <row r="30" spans="1:17" ht="17.100000000000001" customHeight="1">
      <c r="A30" s="211"/>
      <c r="B30" s="203"/>
      <c r="C30" s="203"/>
      <c r="D30" s="204"/>
      <c r="E30" s="205" t="str">
        <f t="shared" si="2"/>
        <v/>
      </c>
      <c r="F30" s="205" t="str">
        <f t="shared" si="3"/>
        <v/>
      </c>
      <c r="G30" s="205" t="str">
        <f t="shared" si="4"/>
        <v/>
      </c>
      <c r="H30" s="867"/>
      <c r="I30" s="868"/>
      <c r="J30" s="876"/>
      <c r="K30" s="877"/>
      <c r="L30" s="183">
        <f t="shared" si="0"/>
        <v>0</v>
      </c>
      <c r="M30" s="184" t="str">
        <f t="shared" si="1"/>
        <v/>
      </c>
      <c r="N30" s="184">
        <f t="shared" si="5"/>
        <v>0</v>
      </c>
      <c r="O30" s="184">
        <f t="shared" si="6"/>
        <v>0</v>
      </c>
      <c r="P30" s="184">
        <f t="shared" si="7"/>
        <v>0</v>
      </c>
      <c r="Q30" s="184" t="str">
        <f t="shared" si="8"/>
        <v/>
      </c>
    </row>
    <row r="31" spans="1:17" ht="17.100000000000001" customHeight="1">
      <c r="A31" s="211"/>
      <c r="B31" s="203"/>
      <c r="C31" s="203"/>
      <c r="D31" s="204"/>
      <c r="E31" s="205" t="str">
        <f t="shared" si="2"/>
        <v/>
      </c>
      <c r="F31" s="205" t="str">
        <f t="shared" si="3"/>
        <v/>
      </c>
      <c r="G31" s="205" t="str">
        <f t="shared" si="4"/>
        <v/>
      </c>
      <c r="H31" s="867"/>
      <c r="I31" s="868"/>
      <c r="J31" s="869"/>
      <c r="K31" s="870"/>
      <c r="L31" s="183">
        <f t="shared" si="0"/>
        <v>0</v>
      </c>
      <c r="M31" s="184" t="str">
        <f t="shared" si="1"/>
        <v/>
      </c>
      <c r="N31" s="184">
        <f t="shared" si="5"/>
        <v>0</v>
      </c>
      <c r="O31" s="184">
        <f t="shared" si="6"/>
        <v>0</v>
      </c>
      <c r="P31" s="184">
        <f t="shared" si="7"/>
        <v>0</v>
      </c>
    </row>
    <row r="32" spans="1:17" ht="17.100000000000001" customHeight="1">
      <c r="A32" s="211"/>
      <c r="B32" s="203"/>
      <c r="C32" s="203"/>
      <c r="D32" s="204"/>
      <c r="E32" s="205" t="str">
        <f t="shared" si="2"/>
        <v/>
      </c>
      <c r="F32" s="205" t="str">
        <f t="shared" si="3"/>
        <v/>
      </c>
      <c r="G32" s="205" t="str">
        <f t="shared" si="4"/>
        <v/>
      </c>
      <c r="H32" s="867"/>
      <c r="I32" s="868"/>
      <c r="J32" s="869"/>
      <c r="K32" s="870"/>
      <c r="L32" s="183">
        <f t="shared" si="0"/>
        <v>0</v>
      </c>
      <c r="M32" s="184" t="str">
        <f t="shared" si="1"/>
        <v/>
      </c>
      <c r="N32" s="184">
        <f t="shared" si="5"/>
        <v>0</v>
      </c>
      <c r="O32" s="184">
        <f t="shared" si="6"/>
        <v>0</v>
      </c>
      <c r="P32" s="184">
        <f t="shared" si="7"/>
        <v>0</v>
      </c>
    </row>
    <row r="33" spans="1:38" ht="17.100000000000001" customHeight="1">
      <c r="A33" s="208"/>
      <c r="B33" s="209"/>
      <c r="C33" s="209"/>
      <c r="D33" s="210"/>
      <c r="E33" s="205" t="str">
        <f t="shared" si="2"/>
        <v/>
      </c>
      <c r="F33" s="205" t="str">
        <f t="shared" si="3"/>
        <v/>
      </c>
      <c r="G33" s="205" t="str">
        <f t="shared" si="4"/>
        <v/>
      </c>
      <c r="H33" s="867"/>
      <c r="I33" s="868"/>
      <c r="J33" s="869"/>
      <c r="K33" s="870"/>
      <c r="L33" s="183">
        <f t="shared" si="0"/>
        <v>0</v>
      </c>
      <c r="M33" s="184" t="str">
        <f t="shared" si="1"/>
        <v/>
      </c>
      <c r="N33" s="184">
        <f t="shared" si="5"/>
        <v>0</v>
      </c>
      <c r="O33" s="184">
        <f t="shared" si="6"/>
        <v>0</v>
      </c>
      <c r="P33" s="184">
        <f t="shared" si="7"/>
        <v>0</v>
      </c>
    </row>
    <row r="34" spans="1:38" ht="17.100000000000001" customHeight="1">
      <c r="A34" s="208"/>
      <c r="B34" s="209"/>
      <c r="C34" s="209"/>
      <c r="D34" s="210"/>
      <c r="E34" s="205" t="str">
        <f t="shared" si="2"/>
        <v/>
      </c>
      <c r="F34" s="205" t="str">
        <f t="shared" si="3"/>
        <v/>
      </c>
      <c r="G34" s="205" t="str">
        <f t="shared" si="4"/>
        <v/>
      </c>
      <c r="H34" s="867"/>
      <c r="I34" s="868"/>
      <c r="J34" s="867"/>
      <c r="K34" s="871"/>
      <c r="L34" s="183">
        <f t="shared" si="0"/>
        <v>0</v>
      </c>
      <c r="M34" s="184" t="str">
        <f t="shared" si="1"/>
        <v/>
      </c>
      <c r="N34" s="184">
        <f t="shared" si="5"/>
        <v>0</v>
      </c>
      <c r="O34" s="184">
        <f t="shared" si="6"/>
        <v>0</v>
      </c>
      <c r="P34" s="184">
        <f t="shared" si="7"/>
        <v>0</v>
      </c>
    </row>
    <row r="35" spans="1:38" ht="17.100000000000001" customHeight="1">
      <c r="A35" s="212"/>
      <c r="B35" s="203"/>
      <c r="C35" s="203"/>
      <c r="D35" s="204"/>
      <c r="E35" s="205" t="str">
        <f t="shared" si="2"/>
        <v/>
      </c>
      <c r="F35" s="205" t="str">
        <f t="shared" si="3"/>
        <v/>
      </c>
      <c r="G35" s="205" t="str">
        <f t="shared" si="4"/>
        <v/>
      </c>
      <c r="H35" s="867"/>
      <c r="I35" s="868"/>
      <c r="J35" s="869"/>
      <c r="K35" s="870"/>
      <c r="L35" s="183">
        <f t="shared" si="0"/>
        <v>0</v>
      </c>
      <c r="M35" s="184" t="str">
        <f t="shared" si="1"/>
        <v/>
      </c>
      <c r="N35" s="184">
        <f t="shared" si="5"/>
        <v>0</v>
      </c>
      <c r="O35" s="184">
        <f t="shared" si="6"/>
        <v>0</v>
      </c>
      <c r="P35" s="184">
        <f t="shared" si="7"/>
        <v>0</v>
      </c>
    </row>
    <row r="36" spans="1:38" ht="17.100000000000001" customHeight="1" thickBot="1">
      <c r="A36" s="213"/>
      <c r="B36" s="214"/>
      <c r="C36" s="214"/>
      <c r="D36" s="215"/>
      <c r="E36" s="215"/>
      <c r="F36" s="215"/>
      <c r="G36" s="215"/>
      <c r="H36" s="872" t="s">
        <v>653</v>
      </c>
      <c r="I36" s="873"/>
      <c r="J36" s="873"/>
      <c r="K36" s="216">
        <f>+O38</f>
        <v>0</v>
      </c>
      <c r="N36" s="184">
        <f t="shared" si="5"/>
        <v>0</v>
      </c>
    </row>
    <row r="37" spans="1:38" ht="17.100000000000001" customHeight="1">
      <c r="A37" s="864"/>
      <c r="B37" s="864"/>
      <c r="C37" s="864"/>
      <c r="D37" s="864"/>
      <c r="E37" s="864"/>
      <c r="F37" s="864"/>
      <c r="G37" s="864"/>
      <c r="H37" s="864"/>
      <c r="I37" s="864"/>
      <c r="J37" s="864"/>
      <c r="K37" s="864"/>
    </row>
    <row r="38" spans="1:38" s="220" customFormat="1" ht="20.100000000000001" customHeight="1">
      <c r="A38" s="217"/>
      <c r="B38" s="863" t="s">
        <v>654</v>
      </c>
      <c r="C38" s="863"/>
      <c r="D38" s="863"/>
      <c r="E38" s="863"/>
      <c r="F38" s="863"/>
      <c r="G38" s="863"/>
      <c r="H38" s="863"/>
      <c r="I38" s="863"/>
      <c r="J38" s="187"/>
      <c r="K38" s="218"/>
      <c r="L38" s="183">
        <f>SUM(L9:L36)</f>
        <v>0</v>
      </c>
      <c r="M38" s="184">
        <f>+SUM(M9:M36)</f>
        <v>0</v>
      </c>
      <c r="N38" s="184">
        <f>SUM(N9:N36)</f>
        <v>0</v>
      </c>
      <c r="O38" s="184">
        <f>SUM(O9:O36)</f>
        <v>0</v>
      </c>
      <c r="P38" s="184">
        <f>SUM(P9:P36)</f>
        <v>0</v>
      </c>
      <c r="Q38" s="184">
        <f>SUM(Q10:Q36)</f>
        <v>0</v>
      </c>
      <c r="R38" s="184" t="s">
        <v>655</v>
      </c>
      <c r="S38" s="219"/>
      <c r="T38" s="219"/>
      <c r="U38" s="219"/>
      <c r="V38" s="219"/>
      <c r="W38" s="219"/>
      <c r="X38" s="219"/>
      <c r="Y38" s="219"/>
      <c r="Z38" s="219"/>
      <c r="AA38" s="219"/>
      <c r="AB38" s="219"/>
      <c r="AC38" s="219"/>
      <c r="AD38" s="219"/>
      <c r="AE38" s="219"/>
      <c r="AF38" s="219"/>
      <c r="AG38" s="219"/>
      <c r="AH38" s="219"/>
      <c r="AI38" s="219"/>
      <c r="AJ38" s="219"/>
      <c r="AK38" s="219"/>
      <c r="AL38" s="219"/>
    </row>
    <row r="39" spans="1:38" ht="21" customHeight="1">
      <c r="A39" s="864" t="s">
        <v>656</v>
      </c>
      <c r="B39" s="864"/>
      <c r="C39" s="864"/>
      <c r="D39" s="864"/>
      <c r="E39" s="864"/>
      <c r="F39" s="864"/>
      <c r="G39" s="864"/>
      <c r="H39" s="864"/>
      <c r="I39" s="864"/>
      <c r="J39" s="864"/>
      <c r="K39" s="864"/>
      <c r="M39" s="221" t="s">
        <v>657</v>
      </c>
    </row>
    <row r="40" spans="1:38" ht="13.5" customHeight="1">
      <c r="A40" s="222"/>
      <c r="B40" s="223"/>
      <c r="C40" s="220"/>
      <c r="D40" s="220"/>
      <c r="E40" s="220"/>
      <c r="F40" s="224"/>
      <c r="G40" s="225"/>
      <c r="H40" s="224"/>
      <c r="I40" s="218"/>
      <c r="J40" s="218"/>
      <c r="K40" s="226"/>
    </row>
    <row r="41" spans="1:38" ht="18" customHeight="1">
      <c r="A41" s="217" t="s">
        <v>658</v>
      </c>
      <c r="B41" s="865" t="s">
        <v>1122</v>
      </c>
      <c r="C41" s="865"/>
      <c r="D41" s="187"/>
      <c r="E41" s="227"/>
      <c r="F41" s="863"/>
      <c r="G41" s="863"/>
      <c r="H41" s="187"/>
      <c r="I41" s="218"/>
      <c r="J41" s="218"/>
    </row>
    <row r="42" spans="1:38" ht="21">
      <c r="A42" s="228"/>
      <c r="B42" s="866"/>
      <c r="C42" s="866"/>
      <c r="D42" s="229"/>
      <c r="E42" s="218"/>
      <c r="F42" s="229"/>
      <c r="G42" s="230"/>
      <c r="H42" s="229"/>
      <c r="I42" s="231"/>
      <c r="J42" s="231"/>
      <c r="K42" s="226"/>
    </row>
    <row r="43" spans="1:38" s="185" customFormat="1" ht="20.25">
      <c r="A43" s="232"/>
      <c r="B43" s="232"/>
      <c r="C43" s="232"/>
      <c r="D43" s="232"/>
      <c r="E43" s="232"/>
      <c r="F43" s="232"/>
      <c r="G43" s="232"/>
      <c r="H43" s="232"/>
      <c r="I43" s="232"/>
      <c r="J43" s="232"/>
      <c r="K43" s="232"/>
      <c r="L43" s="183"/>
      <c r="M43" s="184"/>
      <c r="N43" s="184"/>
      <c r="O43" s="184"/>
      <c r="P43" s="184"/>
      <c r="Q43" s="184"/>
      <c r="R43" s="184"/>
    </row>
    <row r="44" spans="1:38" s="185" customFormat="1" ht="20.25">
      <c r="A44" s="232"/>
      <c r="B44" s="232"/>
      <c r="C44" s="232"/>
      <c r="D44" s="232"/>
      <c r="E44" s="232"/>
      <c r="F44" s="232"/>
      <c r="G44" s="232"/>
      <c r="H44" s="232"/>
      <c r="I44" s="232"/>
      <c r="J44" s="232"/>
      <c r="K44" s="232"/>
      <c r="L44" s="183"/>
      <c r="M44" s="184"/>
      <c r="N44" s="184"/>
      <c r="O44" s="184"/>
      <c r="P44" s="184"/>
      <c r="Q44" s="184"/>
      <c r="R44" s="184"/>
    </row>
    <row r="45" spans="1:38" s="185" customFormat="1" ht="20.25">
      <c r="A45" s="232"/>
      <c r="B45" s="232"/>
      <c r="C45" s="232"/>
      <c r="D45" s="232"/>
      <c r="E45" s="232"/>
      <c r="F45" s="232"/>
      <c r="G45" s="232"/>
      <c r="H45" s="232"/>
      <c r="I45" s="232"/>
      <c r="J45" s="232"/>
      <c r="K45" s="232"/>
      <c r="L45" s="183"/>
      <c r="M45" s="184"/>
      <c r="N45" s="184"/>
      <c r="O45" s="184"/>
      <c r="P45" s="184"/>
      <c r="Q45" s="184"/>
      <c r="R45" s="184"/>
    </row>
    <row r="46" spans="1:38" s="185" customFormat="1" ht="20.25">
      <c r="A46" s="232"/>
      <c r="B46" s="232"/>
      <c r="C46" s="232"/>
      <c r="D46" s="232"/>
      <c r="E46" s="232"/>
      <c r="F46" s="232"/>
      <c r="G46" s="232"/>
      <c r="H46" s="232"/>
      <c r="I46" s="232"/>
      <c r="J46" s="232"/>
      <c r="K46" s="232"/>
      <c r="L46" s="183"/>
      <c r="M46" s="184"/>
      <c r="N46" s="184"/>
      <c r="O46" s="184"/>
      <c r="P46" s="184"/>
      <c r="Q46" s="184"/>
      <c r="R46" s="184"/>
    </row>
    <row r="47" spans="1:38" s="185" customFormat="1" ht="20.25">
      <c r="A47" s="185" t="str">
        <f>+'料单 (4)'!L3</f>
        <v>材质</v>
      </c>
      <c r="B47" s="232"/>
      <c r="C47" s="232"/>
      <c r="D47" s="232"/>
      <c r="E47" s="232"/>
      <c r="F47" s="232"/>
      <c r="G47" s="232"/>
      <c r="H47" s="232"/>
      <c r="I47" s="232"/>
      <c r="J47" s="232"/>
      <c r="K47" s="232"/>
      <c r="L47" s="183"/>
      <c r="M47" s="184"/>
      <c r="N47" s="184"/>
      <c r="O47" s="184"/>
      <c r="P47" s="184"/>
      <c r="Q47" s="184"/>
      <c r="R47" s="184"/>
    </row>
    <row r="48" spans="1:38" s="185" customFormat="1" ht="20.25">
      <c r="B48" s="232"/>
      <c r="C48" s="232"/>
      <c r="D48" s="232"/>
      <c r="E48" s="232"/>
      <c r="F48" s="232"/>
      <c r="G48" s="232"/>
      <c r="H48" s="232"/>
      <c r="I48" s="232"/>
      <c r="J48" s="232"/>
      <c r="K48" s="232"/>
      <c r="L48" s="183"/>
      <c r="M48" s="184"/>
      <c r="N48" s="184"/>
      <c r="O48" s="184"/>
      <c r="P48" s="184"/>
      <c r="Q48" s="184"/>
      <c r="R48" s="184"/>
    </row>
    <row r="49" spans="1:18" s="185" customFormat="1" ht="20.25">
      <c r="A49" s="185" t="str">
        <f>+'料单 (4)'!L5</f>
        <v>L02象牙白</v>
      </c>
      <c r="B49" s="232"/>
      <c r="C49" s="232"/>
      <c r="D49" s="232"/>
      <c r="E49" s="232"/>
      <c r="F49" s="232"/>
      <c r="G49" s="232"/>
      <c r="H49" s="232"/>
      <c r="I49" s="232"/>
      <c r="J49" s="232"/>
      <c r="K49" s="232"/>
      <c r="L49" s="183"/>
      <c r="M49" s="184"/>
      <c r="N49" s="184"/>
      <c r="O49" s="184"/>
      <c r="P49" s="184"/>
      <c r="Q49" s="184"/>
      <c r="R49" s="184"/>
    </row>
    <row r="50" spans="1:18" s="185" customFormat="1" ht="20.25">
      <c r="A50" s="185" t="str">
        <f>+'料单 (4)'!L6</f>
        <v>L12纯白</v>
      </c>
      <c r="B50" s="232"/>
      <c r="C50" s="232"/>
      <c r="D50" s="232"/>
      <c r="E50" s="232"/>
      <c r="F50" s="232"/>
      <c r="G50" s="232"/>
      <c r="H50" s="232"/>
      <c r="I50" s="232"/>
      <c r="J50" s="232"/>
      <c r="K50" s="232"/>
      <c r="L50" s="183"/>
      <c r="M50" s="184"/>
      <c r="N50" s="184"/>
      <c r="O50" s="184"/>
      <c r="P50" s="184"/>
      <c r="Q50" s="184"/>
      <c r="R50" s="184"/>
    </row>
    <row r="51" spans="1:18" s="185" customFormat="1" ht="20.25">
      <c r="A51" s="185" t="str">
        <f>+'料单 (4)'!L7</f>
        <v>L01珍珠白</v>
      </c>
      <c r="B51" s="232"/>
      <c r="C51" s="232"/>
      <c r="D51" s="232"/>
      <c r="E51" s="232"/>
      <c r="F51" s="232"/>
      <c r="G51" s="232"/>
      <c r="H51" s="232"/>
      <c r="I51" s="232"/>
      <c r="J51" s="232"/>
      <c r="K51" s="232"/>
      <c r="L51" s="183"/>
      <c r="M51" s="184"/>
      <c r="N51" s="184"/>
      <c r="O51" s="184"/>
      <c r="P51" s="184"/>
      <c r="Q51" s="184"/>
      <c r="R51" s="184"/>
    </row>
    <row r="52" spans="1:18" s="185" customFormat="1" ht="20.25">
      <c r="A52" s="185" t="str">
        <f>+'料单 (4)'!L8</f>
        <v>L02象牙白</v>
      </c>
      <c r="B52" s="232"/>
      <c r="C52" s="232"/>
      <c r="D52" s="232"/>
      <c r="E52" s="232"/>
      <c r="F52" s="232"/>
      <c r="G52" s="232"/>
      <c r="H52" s="232"/>
      <c r="I52" s="232"/>
      <c r="J52" s="232"/>
      <c r="K52" s="232"/>
      <c r="L52" s="183"/>
      <c r="M52" s="184"/>
      <c r="N52" s="184"/>
      <c r="O52" s="184"/>
      <c r="P52" s="184"/>
      <c r="Q52" s="184"/>
      <c r="R52" s="184"/>
    </row>
    <row r="53" spans="1:18" s="185" customFormat="1" ht="20.25">
      <c r="A53" s="185" t="str">
        <f>+'料单 (4)'!L9</f>
        <v>L05浅灰</v>
      </c>
      <c r="B53" s="232"/>
      <c r="C53" s="232"/>
      <c r="D53" s="232"/>
      <c r="E53" s="232"/>
      <c r="F53" s="232"/>
      <c r="G53" s="232"/>
      <c r="H53" s="232"/>
      <c r="I53" s="232"/>
      <c r="J53" s="232"/>
      <c r="K53" s="232"/>
      <c r="L53" s="183"/>
      <c r="M53" s="184"/>
      <c r="N53" s="184"/>
      <c r="O53" s="184"/>
      <c r="P53" s="184"/>
      <c r="Q53" s="184"/>
      <c r="R53" s="184"/>
    </row>
    <row r="54" spans="1:18" s="185" customFormat="1" ht="20.25">
      <c r="A54" s="185" t="str">
        <f>+'料单 (4)'!L10</f>
        <v>L06卡布奇诺</v>
      </c>
      <c r="B54" s="232"/>
      <c r="C54" s="232"/>
      <c r="D54" s="232"/>
      <c r="E54" s="232"/>
      <c r="F54" s="232"/>
      <c r="G54" s="232"/>
      <c r="H54" s="232"/>
      <c r="I54" s="232"/>
      <c r="J54" s="232"/>
      <c r="K54" s="232"/>
      <c r="L54" s="183"/>
      <c r="M54" s="184"/>
      <c r="N54" s="184"/>
      <c r="O54" s="184"/>
      <c r="P54" s="184"/>
      <c r="Q54" s="184"/>
      <c r="R54" s="184"/>
    </row>
    <row r="55" spans="1:18" s="185" customFormat="1" ht="20.25">
      <c r="A55" s="185" t="str">
        <f>+'料单 (4)'!L11</f>
        <v>L11纯黑</v>
      </c>
      <c r="B55" s="232"/>
      <c r="C55" s="232"/>
      <c r="D55" s="232"/>
      <c r="E55" s="232"/>
      <c r="F55" s="232"/>
      <c r="G55" s="232"/>
      <c r="H55" s="232"/>
      <c r="I55" s="232"/>
      <c r="J55" s="232"/>
      <c r="K55" s="232"/>
      <c r="L55" s="183"/>
      <c r="M55" s="184"/>
      <c r="N55" s="184"/>
      <c r="O55" s="184"/>
      <c r="P55" s="184"/>
      <c r="Q55" s="184"/>
      <c r="R55" s="184"/>
    </row>
    <row r="56" spans="1:18" s="185" customFormat="1" ht="20.25">
      <c r="A56" s="185" t="str">
        <f>+'料单 (4)'!L12</f>
        <v>L12纯白</v>
      </c>
      <c r="B56" s="232"/>
      <c r="C56" s="232"/>
      <c r="D56" s="232"/>
      <c r="E56" s="232"/>
      <c r="F56" s="232"/>
      <c r="G56" s="232"/>
      <c r="H56" s="232"/>
      <c r="I56" s="232"/>
      <c r="J56" s="232"/>
      <c r="K56" s="232"/>
      <c r="L56" s="183"/>
      <c r="M56" s="184"/>
      <c r="N56" s="184"/>
      <c r="O56" s="184"/>
      <c r="P56" s="184"/>
      <c r="Q56" s="184"/>
      <c r="R56" s="184"/>
    </row>
    <row r="57" spans="1:18" s="185" customFormat="1" ht="20.25">
      <c r="A57" s="185" t="str">
        <f>+'料单 (4)'!L13</f>
        <v>G01珍珠白</v>
      </c>
      <c r="B57" s="232"/>
      <c r="C57" s="232"/>
      <c r="D57" s="232"/>
      <c r="E57" s="232"/>
      <c r="F57" s="232"/>
      <c r="G57" s="232"/>
      <c r="H57" s="232"/>
      <c r="I57" s="232"/>
      <c r="J57" s="232"/>
      <c r="K57" s="232"/>
      <c r="L57" s="183"/>
      <c r="M57" s="184"/>
      <c r="N57" s="184"/>
      <c r="O57" s="184"/>
      <c r="P57" s="184"/>
      <c r="Q57" s="184"/>
      <c r="R57" s="184"/>
    </row>
    <row r="58" spans="1:18" s="185" customFormat="1" ht="20.25">
      <c r="A58" s="185" t="str">
        <f>+'料单 (4)'!L14</f>
        <v>G02象牙白</v>
      </c>
      <c r="B58" s="232"/>
      <c r="C58" s="232"/>
      <c r="D58" s="232"/>
      <c r="E58" s="232"/>
      <c r="F58" s="232"/>
      <c r="G58" s="232"/>
      <c r="H58" s="232"/>
      <c r="I58" s="232"/>
      <c r="J58" s="232"/>
      <c r="K58" s="232"/>
      <c r="L58" s="183"/>
      <c r="M58" s="184"/>
      <c r="N58" s="184"/>
      <c r="O58" s="184"/>
      <c r="P58" s="184"/>
      <c r="Q58" s="184"/>
      <c r="R58" s="184"/>
    </row>
    <row r="59" spans="1:18" s="185" customFormat="1" ht="20.25">
      <c r="A59" s="185" t="str">
        <f>+'料单 (4)'!L15</f>
        <v>G06卡布奇诺</v>
      </c>
      <c r="B59" s="232"/>
      <c r="C59" s="232"/>
      <c r="D59" s="232"/>
      <c r="E59" s="232"/>
      <c r="F59" s="232"/>
      <c r="G59" s="232"/>
      <c r="H59" s="232"/>
      <c r="I59" s="232"/>
      <c r="J59" s="232"/>
      <c r="K59" s="232"/>
      <c r="L59" s="183"/>
      <c r="M59" s="184"/>
      <c r="N59" s="184"/>
      <c r="O59" s="184"/>
      <c r="P59" s="184"/>
      <c r="Q59" s="184"/>
      <c r="R59" s="184"/>
    </row>
    <row r="60" spans="1:18" s="185" customFormat="1" ht="20.25">
      <c r="A60" s="185" t="str">
        <f>+'料单 (4)'!L16</f>
        <v>G07深灰</v>
      </c>
      <c r="B60" s="232"/>
      <c r="C60" s="232"/>
      <c r="D60" s="232"/>
      <c r="E60" s="232"/>
      <c r="F60" s="232"/>
      <c r="G60" s="232"/>
      <c r="H60" s="232"/>
      <c r="I60" s="232"/>
      <c r="J60" s="232"/>
      <c r="K60" s="232"/>
      <c r="L60" s="183"/>
      <c r="M60" s="184"/>
      <c r="N60" s="184"/>
      <c r="O60" s="184"/>
      <c r="P60" s="184"/>
      <c r="Q60" s="184"/>
      <c r="R60" s="184"/>
    </row>
    <row r="61" spans="1:18" s="185" customFormat="1" ht="20.25">
      <c r="A61" s="185" t="str">
        <f>+'料单 (4)'!L17</f>
        <v>G08柠檬绿</v>
      </c>
      <c r="B61" s="232"/>
      <c r="C61" s="232"/>
      <c r="D61" s="232"/>
      <c r="E61" s="232"/>
      <c r="F61" s="232"/>
      <c r="G61" s="232"/>
      <c r="H61" s="232"/>
      <c r="I61" s="232"/>
      <c r="J61" s="232"/>
      <c r="K61" s="232"/>
      <c r="L61" s="183"/>
      <c r="M61" s="184"/>
      <c r="N61" s="184"/>
      <c r="O61" s="184"/>
      <c r="P61" s="184"/>
      <c r="Q61" s="184"/>
      <c r="R61" s="184"/>
    </row>
    <row r="62" spans="1:18" s="185" customFormat="1" ht="20.25">
      <c r="A62" s="185" t="str">
        <f>+'料单 (4)'!L18</f>
        <v>G09法拉利红</v>
      </c>
      <c r="B62" s="232"/>
      <c r="C62" s="232"/>
      <c r="D62" s="232"/>
      <c r="E62" s="232"/>
      <c r="F62" s="232"/>
      <c r="G62" s="232"/>
      <c r="H62" s="232"/>
      <c r="I62" s="232"/>
      <c r="J62" s="232"/>
      <c r="K62" s="232"/>
      <c r="L62" s="183"/>
      <c r="M62" s="184"/>
      <c r="N62" s="184"/>
      <c r="O62" s="184"/>
      <c r="P62" s="184"/>
      <c r="Q62" s="184"/>
      <c r="R62" s="184"/>
    </row>
    <row r="63" spans="1:18" s="185" customFormat="1" ht="20.25">
      <c r="A63" s="185" t="str">
        <f>+'料单 (4)'!L21</f>
        <v>G10酒红</v>
      </c>
      <c r="B63" s="232"/>
      <c r="C63" s="232"/>
      <c r="D63" s="232"/>
      <c r="E63" s="232"/>
      <c r="F63" s="232"/>
      <c r="G63" s="232"/>
      <c r="H63" s="232"/>
      <c r="I63" s="232"/>
      <c r="J63" s="232"/>
      <c r="K63" s="232"/>
      <c r="L63" s="183"/>
      <c r="M63" s="184"/>
      <c r="N63" s="184"/>
      <c r="O63" s="184"/>
      <c r="P63" s="184"/>
      <c r="Q63" s="184"/>
      <c r="R63" s="184"/>
    </row>
    <row r="64" spans="1:18" s="185" customFormat="1" ht="20.25">
      <c r="A64" s="185" t="str">
        <f>+'料单 (4)'!L22</f>
        <v>G11纯黑</v>
      </c>
      <c r="B64" s="232"/>
      <c r="C64" s="232"/>
      <c r="D64" s="232"/>
      <c r="E64" s="232"/>
      <c r="F64" s="232"/>
      <c r="G64" s="232"/>
      <c r="H64" s="232"/>
      <c r="I64" s="232"/>
      <c r="J64" s="232"/>
      <c r="K64" s="232"/>
      <c r="L64" s="183"/>
      <c r="M64" s="184"/>
      <c r="N64" s="184"/>
      <c r="O64" s="184"/>
      <c r="P64" s="184"/>
      <c r="Q64" s="184"/>
      <c r="R64" s="184"/>
    </row>
    <row r="65" spans="1:18" s="185" customFormat="1" ht="20.25">
      <c r="A65" s="185" t="str">
        <f>+'料单 (4)'!L23</f>
        <v>G12纯白</v>
      </c>
      <c r="B65" s="232"/>
      <c r="C65" s="232"/>
      <c r="D65" s="232"/>
      <c r="E65" s="232"/>
      <c r="F65" s="232"/>
      <c r="G65" s="232"/>
      <c r="H65" s="232"/>
      <c r="I65" s="232"/>
      <c r="J65" s="232"/>
      <c r="K65" s="232"/>
      <c r="L65" s="183"/>
      <c r="M65" s="184"/>
      <c r="N65" s="184"/>
      <c r="O65" s="184"/>
      <c r="P65" s="184"/>
      <c r="Q65" s="184"/>
      <c r="R65" s="184"/>
    </row>
    <row r="66" spans="1:18" s="185" customFormat="1" ht="20.25">
      <c r="A66" s="232"/>
      <c r="B66" s="232"/>
      <c r="C66" s="232"/>
      <c r="D66" s="232"/>
      <c r="E66" s="232"/>
      <c r="F66" s="232"/>
      <c r="G66" s="232"/>
      <c r="H66" s="232"/>
      <c r="I66" s="232"/>
      <c r="J66" s="232"/>
      <c r="K66" s="232"/>
      <c r="L66" s="183"/>
      <c r="M66" s="184"/>
      <c r="N66" s="184"/>
      <c r="O66" s="184"/>
      <c r="P66" s="184"/>
      <c r="Q66" s="184"/>
      <c r="R66" s="184"/>
    </row>
    <row r="67" spans="1:18" s="185" customFormat="1" ht="20.25">
      <c r="A67" s="232"/>
      <c r="B67" s="232"/>
      <c r="C67" s="232"/>
      <c r="D67" s="232"/>
      <c r="E67" s="232"/>
      <c r="F67" s="232"/>
      <c r="G67" s="232"/>
      <c r="H67" s="232"/>
      <c r="I67" s="232"/>
      <c r="J67" s="232"/>
      <c r="K67" s="232"/>
      <c r="L67" s="183"/>
      <c r="M67" s="184"/>
      <c r="N67" s="184"/>
      <c r="O67" s="184"/>
      <c r="P67" s="184"/>
      <c r="Q67" s="184"/>
      <c r="R67" s="184"/>
    </row>
    <row r="68" spans="1:18" s="185" customFormat="1" ht="20.25">
      <c r="A68" s="232"/>
      <c r="B68" s="232"/>
      <c r="C68" s="232"/>
      <c r="D68" s="232"/>
      <c r="E68" s="232"/>
      <c r="F68" s="232"/>
      <c r="G68" s="232"/>
      <c r="H68" s="232"/>
      <c r="I68" s="232"/>
      <c r="J68" s="232"/>
      <c r="K68" s="232"/>
      <c r="L68" s="183"/>
      <c r="M68" s="184"/>
      <c r="N68" s="184"/>
      <c r="O68" s="184"/>
      <c r="P68" s="184"/>
      <c r="Q68" s="184"/>
      <c r="R68" s="184"/>
    </row>
    <row r="69" spans="1:18" s="185" customFormat="1" ht="20.25">
      <c r="A69" s="232"/>
      <c r="B69" s="232"/>
      <c r="C69" s="232"/>
      <c r="D69" s="232"/>
      <c r="E69" s="232"/>
      <c r="F69" s="232"/>
      <c r="G69" s="232"/>
      <c r="H69" s="232"/>
      <c r="I69" s="232"/>
      <c r="J69" s="232"/>
      <c r="K69" s="232"/>
      <c r="L69" s="183"/>
      <c r="M69" s="184"/>
      <c r="N69" s="184"/>
      <c r="O69" s="184"/>
      <c r="P69" s="184"/>
      <c r="Q69" s="184"/>
      <c r="R69" s="184"/>
    </row>
    <row r="70" spans="1:18" s="185" customFormat="1" ht="20.25">
      <c r="A70" s="232"/>
      <c r="B70" s="232"/>
      <c r="C70" s="232"/>
      <c r="D70" s="232"/>
      <c r="E70" s="232"/>
      <c r="F70" s="232"/>
      <c r="G70" s="232"/>
      <c r="H70" s="232"/>
      <c r="I70" s="232"/>
      <c r="J70" s="232"/>
      <c r="K70" s="232"/>
      <c r="L70" s="183"/>
      <c r="M70" s="184"/>
      <c r="N70" s="184"/>
      <c r="O70" s="184"/>
      <c r="P70" s="184"/>
      <c r="Q70" s="184"/>
      <c r="R70" s="184"/>
    </row>
    <row r="71" spans="1:18" s="185" customFormat="1" ht="20.25">
      <c r="A71" s="232"/>
      <c r="B71" s="232"/>
      <c r="C71" s="232"/>
      <c r="D71" s="232"/>
      <c r="E71" s="232"/>
      <c r="F71" s="232"/>
      <c r="G71" s="232"/>
      <c r="H71" s="232"/>
      <c r="I71" s="232"/>
      <c r="J71" s="232"/>
      <c r="K71" s="232"/>
      <c r="L71" s="183"/>
      <c r="M71" s="184"/>
      <c r="N71" s="184"/>
      <c r="O71" s="184"/>
      <c r="P71" s="184"/>
      <c r="Q71" s="184"/>
      <c r="R71" s="184"/>
    </row>
    <row r="72" spans="1:18" s="185" customFormat="1" ht="20.25">
      <c r="A72" s="232"/>
      <c r="B72" s="232"/>
      <c r="C72" s="232"/>
      <c r="D72" s="232"/>
      <c r="E72" s="232"/>
      <c r="F72" s="232"/>
      <c r="G72" s="232"/>
      <c r="H72" s="232"/>
      <c r="I72" s="232"/>
      <c r="J72" s="232"/>
      <c r="K72" s="232"/>
      <c r="L72" s="183"/>
      <c r="M72" s="184"/>
      <c r="N72" s="184"/>
      <c r="O72" s="184"/>
      <c r="P72" s="184"/>
      <c r="Q72" s="184"/>
      <c r="R72" s="184"/>
    </row>
    <row r="73" spans="1:18" s="185" customFormat="1" ht="20.25">
      <c r="A73" s="232"/>
      <c r="B73" s="232"/>
      <c r="C73" s="232"/>
      <c r="D73" s="232"/>
      <c r="E73" s="232"/>
      <c r="F73" s="232"/>
      <c r="G73" s="232"/>
      <c r="H73" s="232"/>
      <c r="I73" s="232"/>
      <c r="J73" s="232"/>
      <c r="K73" s="232"/>
      <c r="L73" s="183"/>
      <c r="M73" s="184"/>
      <c r="N73" s="184"/>
      <c r="O73" s="184"/>
      <c r="P73" s="184"/>
      <c r="Q73" s="184"/>
      <c r="R73" s="184"/>
    </row>
    <row r="74" spans="1:18" s="185" customFormat="1" ht="20.25">
      <c r="A74" s="232"/>
      <c r="B74" s="232"/>
      <c r="C74" s="232"/>
      <c r="D74" s="232"/>
      <c r="E74" s="232"/>
      <c r="F74" s="232"/>
      <c r="G74" s="232"/>
      <c r="H74" s="232"/>
      <c r="I74" s="232"/>
      <c r="J74" s="232"/>
      <c r="K74" s="232"/>
      <c r="L74" s="183"/>
      <c r="M74" s="184"/>
      <c r="N74" s="184"/>
      <c r="O74" s="184"/>
      <c r="P74" s="184"/>
      <c r="Q74" s="184"/>
      <c r="R74" s="184"/>
    </row>
    <row r="75" spans="1:18" s="185" customFormat="1" ht="20.25">
      <c r="A75" s="232"/>
      <c r="B75" s="232"/>
      <c r="C75" s="232"/>
      <c r="D75" s="232"/>
      <c r="E75" s="232"/>
      <c r="F75" s="232"/>
      <c r="G75" s="232"/>
      <c r="H75" s="232"/>
      <c r="I75" s="232"/>
      <c r="J75" s="232"/>
      <c r="K75" s="232"/>
      <c r="L75" s="183"/>
      <c r="M75" s="184"/>
      <c r="N75" s="184"/>
      <c r="O75" s="184"/>
      <c r="P75" s="184"/>
      <c r="Q75" s="184"/>
      <c r="R75" s="184"/>
    </row>
    <row r="76" spans="1:18" s="185" customFormat="1" ht="20.25">
      <c r="A76" s="232"/>
      <c r="B76" s="232"/>
      <c r="C76" s="232"/>
      <c r="D76" s="232"/>
      <c r="E76" s="232"/>
      <c r="F76" s="232"/>
      <c r="G76" s="232"/>
      <c r="H76" s="232"/>
      <c r="I76" s="232"/>
      <c r="J76" s="232"/>
      <c r="K76" s="232"/>
      <c r="L76" s="183"/>
      <c r="M76" s="184"/>
      <c r="N76" s="184"/>
      <c r="O76" s="184"/>
      <c r="P76" s="184"/>
      <c r="Q76" s="184"/>
      <c r="R76" s="184"/>
    </row>
    <row r="77" spans="1:18" s="185" customFormat="1" ht="20.25">
      <c r="A77" s="232"/>
      <c r="B77" s="232"/>
      <c r="C77" s="232"/>
      <c r="D77" s="232"/>
      <c r="E77" s="232"/>
      <c r="F77" s="232"/>
      <c r="G77" s="232"/>
      <c r="H77" s="232"/>
      <c r="I77" s="232"/>
      <c r="J77" s="232"/>
      <c r="K77" s="232"/>
      <c r="L77" s="183"/>
      <c r="M77" s="184"/>
      <c r="N77" s="184"/>
      <c r="O77" s="184"/>
      <c r="P77" s="184"/>
      <c r="Q77" s="184"/>
      <c r="R77" s="184"/>
    </row>
    <row r="78" spans="1:18" s="185" customFormat="1" ht="20.25">
      <c r="A78" s="232"/>
      <c r="B78" s="232"/>
      <c r="C78" s="232"/>
      <c r="D78" s="232"/>
      <c r="E78" s="232"/>
      <c r="F78" s="232"/>
      <c r="G78" s="232"/>
      <c r="H78" s="232"/>
      <c r="I78" s="232"/>
      <c r="J78" s="232"/>
      <c r="K78" s="232"/>
      <c r="L78" s="183"/>
      <c r="M78" s="184"/>
      <c r="N78" s="184"/>
      <c r="O78" s="184"/>
      <c r="P78" s="184"/>
      <c r="Q78" s="184"/>
      <c r="R78" s="184"/>
    </row>
    <row r="79" spans="1:18" s="185" customFormat="1" ht="20.25">
      <c r="A79" s="232"/>
      <c r="B79" s="232"/>
      <c r="C79" s="232"/>
      <c r="D79" s="232"/>
      <c r="E79" s="232"/>
      <c r="F79" s="232"/>
      <c r="G79" s="232"/>
      <c r="H79" s="232"/>
      <c r="I79" s="232"/>
      <c r="J79" s="232"/>
      <c r="K79" s="232"/>
      <c r="L79" s="183"/>
      <c r="M79" s="184"/>
      <c r="N79" s="184"/>
      <c r="O79" s="184"/>
      <c r="P79" s="184"/>
      <c r="Q79" s="184"/>
      <c r="R79" s="184"/>
    </row>
    <row r="80" spans="1:18" s="185" customFormat="1" ht="20.25">
      <c r="A80" s="232"/>
      <c r="B80" s="232"/>
      <c r="C80" s="232"/>
      <c r="D80" s="232"/>
      <c r="E80" s="232"/>
      <c r="F80" s="232"/>
      <c r="G80" s="232"/>
      <c r="H80" s="232"/>
      <c r="I80" s="232"/>
      <c r="J80" s="232"/>
      <c r="K80" s="232"/>
      <c r="L80" s="183"/>
      <c r="M80" s="184"/>
      <c r="N80" s="184"/>
      <c r="O80" s="184"/>
      <c r="P80" s="184"/>
      <c r="Q80" s="184"/>
      <c r="R80" s="184"/>
    </row>
    <row r="81" spans="1:18" s="185" customFormat="1" ht="20.25">
      <c r="A81" s="232"/>
      <c r="B81" s="232"/>
      <c r="C81" s="232"/>
      <c r="D81" s="232"/>
      <c r="E81" s="232"/>
      <c r="F81" s="232"/>
      <c r="G81" s="232"/>
      <c r="H81" s="232"/>
      <c r="I81" s="232"/>
      <c r="J81" s="232"/>
      <c r="K81" s="232"/>
      <c r="L81" s="183"/>
      <c r="M81" s="184"/>
      <c r="N81" s="184"/>
      <c r="O81" s="184"/>
      <c r="P81" s="184"/>
      <c r="Q81" s="184"/>
      <c r="R81" s="184"/>
    </row>
    <row r="82" spans="1:18" s="185" customFormat="1" ht="20.25">
      <c r="A82" s="232"/>
      <c r="B82" s="232"/>
      <c r="C82" s="232"/>
      <c r="D82" s="232"/>
      <c r="E82" s="232"/>
      <c r="F82" s="232"/>
      <c r="G82" s="232"/>
      <c r="H82" s="232"/>
      <c r="I82" s="232"/>
      <c r="J82" s="232"/>
      <c r="K82" s="232"/>
      <c r="L82" s="183"/>
      <c r="M82" s="184"/>
      <c r="N82" s="184"/>
      <c r="O82" s="184"/>
      <c r="P82" s="184"/>
      <c r="Q82" s="184"/>
      <c r="R82" s="184"/>
    </row>
    <row r="83" spans="1:18" s="185" customFormat="1" ht="20.25">
      <c r="A83" s="232"/>
      <c r="B83" s="232"/>
      <c r="C83" s="232"/>
      <c r="D83" s="232"/>
      <c r="E83" s="232"/>
      <c r="F83" s="232"/>
      <c r="G83" s="232"/>
      <c r="H83" s="232"/>
      <c r="I83" s="232"/>
      <c r="J83" s="232"/>
      <c r="K83" s="232"/>
      <c r="L83" s="183"/>
      <c r="M83" s="184"/>
      <c r="N83" s="184"/>
      <c r="O83" s="184"/>
      <c r="P83" s="184"/>
      <c r="Q83" s="184"/>
      <c r="R83" s="184"/>
    </row>
    <row r="84" spans="1:18" s="185" customFormat="1" ht="20.25">
      <c r="A84" s="232"/>
      <c r="B84" s="232"/>
      <c r="C84" s="232"/>
      <c r="D84" s="232"/>
      <c r="E84" s="232"/>
      <c r="F84" s="232"/>
      <c r="G84" s="232"/>
      <c r="H84" s="232"/>
      <c r="I84" s="232"/>
      <c r="J84" s="232"/>
      <c r="K84" s="232"/>
      <c r="L84" s="183"/>
      <c r="M84" s="184"/>
      <c r="N84" s="184"/>
      <c r="O84" s="184"/>
      <c r="P84" s="184"/>
      <c r="Q84" s="184"/>
      <c r="R84" s="184"/>
    </row>
    <row r="85" spans="1:18" s="185" customFormat="1" ht="20.25">
      <c r="A85" s="232"/>
      <c r="B85" s="232"/>
      <c r="C85" s="232"/>
      <c r="D85" s="232"/>
      <c r="E85" s="232"/>
      <c r="F85" s="232"/>
      <c r="G85" s="232"/>
      <c r="H85" s="232"/>
      <c r="I85" s="232"/>
      <c r="J85" s="232"/>
      <c r="K85" s="232"/>
      <c r="L85" s="183"/>
      <c r="M85" s="184"/>
      <c r="N85" s="184"/>
      <c r="O85" s="184"/>
      <c r="P85" s="184"/>
      <c r="Q85" s="184"/>
      <c r="R85" s="184"/>
    </row>
    <row r="86" spans="1:18" s="185" customFormat="1" ht="20.25">
      <c r="A86" s="232"/>
      <c r="B86" s="232"/>
      <c r="C86" s="232"/>
      <c r="D86" s="232"/>
      <c r="E86" s="232"/>
      <c r="F86" s="232"/>
      <c r="G86" s="232"/>
      <c r="H86" s="232"/>
      <c r="I86" s="232"/>
      <c r="J86" s="232"/>
      <c r="K86" s="232"/>
      <c r="L86" s="183"/>
      <c r="M86" s="184"/>
      <c r="N86" s="184"/>
      <c r="O86" s="184"/>
      <c r="P86" s="184"/>
      <c r="Q86" s="184"/>
      <c r="R86" s="184"/>
    </row>
    <row r="87" spans="1:18" s="185" customFormat="1" ht="20.25">
      <c r="A87" s="232"/>
      <c r="B87" s="232"/>
      <c r="C87" s="232"/>
      <c r="D87" s="232"/>
      <c r="E87" s="232"/>
      <c r="F87" s="232"/>
      <c r="G87" s="232"/>
      <c r="H87" s="232"/>
      <c r="I87" s="232"/>
      <c r="J87" s="232"/>
      <c r="K87" s="232"/>
      <c r="L87" s="183"/>
      <c r="M87" s="184"/>
      <c r="N87" s="184"/>
      <c r="O87" s="184"/>
      <c r="P87" s="184"/>
      <c r="Q87" s="184"/>
      <c r="R87" s="184"/>
    </row>
    <row r="88" spans="1:18" s="185" customFormat="1" ht="20.25">
      <c r="A88" s="232"/>
      <c r="B88" s="232"/>
      <c r="C88" s="232"/>
      <c r="D88" s="232"/>
      <c r="E88" s="232"/>
      <c r="F88" s="232"/>
      <c r="G88" s="232"/>
      <c r="H88" s="232"/>
      <c r="I88" s="232"/>
      <c r="J88" s="232"/>
      <c r="K88" s="232"/>
      <c r="L88" s="183"/>
      <c r="M88" s="184"/>
      <c r="N88" s="184"/>
      <c r="O88" s="184"/>
      <c r="P88" s="184"/>
      <c r="Q88" s="184"/>
      <c r="R88" s="184"/>
    </row>
    <row r="89" spans="1:18" s="185" customFormat="1" ht="20.25">
      <c r="A89" s="232"/>
      <c r="B89" s="232"/>
      <c r="C89" s="232"/>
      <c r="D89" s="232"/>
      <c r="E89" s="232"/>
      <c r="F89" s="232"/>
      <c r="G89" s="232"/>
      <c r="H89" s="232"/>
      <c r="I89" s="232"/>
      <c r="J89" s="232"/>
      <c r="K89" s="232"/>
      <c r="L89" s="183"/>
      <c r="M89" s="184"/>
      <c r="N89" s="184"/>
      <c r="O89" s="184"/>
      <c r="P89" s="184"/>
      <c r="Q89" s="184"/>
      <c r="R89" s="184"/>
    </row>
    <row r="90" spans="1:18" s="185" customFormat="1" ht="20.25">
      <c r="A90" s="232"/>
      <c r="B90" s="232"/>
      <c r="C90" s="232"/>
      <c r="D90" s="232"/>
      <c r="E90" s="232"/>
      <c r="F90" s="232"/>
      <c r="G90" s="232"/>
      <c r="H90" s="232"/>
      <c r="I90" s="232"/>
      <c r="J90" s="232"/>
      <c r="K90" s="232"/>
      <c r="L90" s="183"/>
      <c r="M90" s="184"/>
      <c r="N90" s="184"/>
      <c r="O90" s="184"/>
      <c r="P90" s="184"/>
      <c r="Q90" s="184"/>
      <c r="R90" s="184"/>
    </row>
    <row r="91" spans="1:18" s="185" customFormat="1" ht="20.25">
      <c r="A91" s="232"/>
      <c r="B91" s="232"/>
      <c r="C91" s="232"/>
      <c r="D91" s="232"/>
      <c r="E91" s="232"/>
      <c r="F91" s="232"/>
      <c r="G91" s="232"/>
      <c r="H91" s="232"/>
      <c r="I91" s="232"/>
      <c r="J91" s="232"/>
      <c r="K91" s="232"/>
      <c r="L91" s="183"/>
      <c r="M91" s="184"/>
      <c r="N91" s="184"/>
      <c r="O91" s="184"/>
      <c r="P91" s="184"/>
      <c r="Q91" s="184"/>
      <c r="R91" s="184"/>
    </row>
    <row r="92" spans="1:18" s="185" customFormat="1" ht="20.25">
      <c r="A92" s="232"/>
      <c r="B92" s="232"/>
      <c r="C92" s="232"/>
      <c r="D92" s="232"/>
      <c r="E92" s="232"/>
      <c r="F92" s="232"/>
      <c r="G92" s="232"/>
      <c r="H92" s="232"/>
      <c r="I92" s="232"/>
      <c r="J92" s="232"/>
      <c r="K92" s="232"/>
      <c r="L92" s="183"/>
      <c r="M92" s="184"/>
      <c r="N92" s="184"/>
      <c r="O92" s="184"/>
      <c r="P92" s="184"/>
      <c r="Q92" s="184"/>
      <c r="R92" s="184"/>
    </row>
    <row r="93" spans="1:18" s="185" customFormat="1" ht="20.25">
      <c r="A93" s="232"/>
      <c r="B93" s="232"/>
      <c r="C93" s="232"/>
      <c r="D93" s="232"/>
      <c r="E93" s="232"/>
      <c r="F93" s="232"/>
      <c r="G93" s="232"/>
      <c r="H93" s="232"/>
      <c r="I93" s="232"/>
      <c r="J93" s="232"/>
      <c r="K93" s="232"/>
      <c r="L93" s="183"/>
      <c r="M93" s="184"/>
      <c r="N93" s="184"/>
      <c r="O93" s="184"/>
      <c r="P93" s="184"/>
      <c r="Q93" s="184"/>
      <c r="R93" s="184"/>
    </row>
    <row r="94" spans="1:18" s="185" customFormat="1" ht="20.25">
      <c r="A94" s="232"/>
      <c r="B94" s="232"/>
      <c r="C94" s="232"/>
      <c r="D94" s="232"/>
      <c r="E94" s="232"/>
      <c r="F94" s="232"/>
      <c r="G94" s="232"/>
      <c r="H94" s="232"/>
      <c r="I94" s="232"/>
      <c r="J94" s="232"/>
      <c r="K94" s="232"/>
      <c r="L94" s="183"/>
      <c r="M94" s="184"/>
      <c r="N94" s="184"/>
      <c r="O94" s="184"/>
      <c r="P94" s="184"/>
      <c r="Q94" s="184"/>
      <c r="R94" s="184"/>
    </row>
    <row r="95" spans="1:18" s="185" customFormat="1" ht="20.25">
      <c r="A95" s="232"/>
      <c r="B95" s="232"/>
      <c r="C95" s="232"/>
      <c r="D95" s="232"/>
      <c r="E95" s="232"/>
      <c r="F95" s="232"/>
      <c r="G95" s="232"/>
      <c r="H95" s="232"/>
      <c r="I95" s="232"/>
      <c r="J95" s="232"/>
      <c r="K95" s="232"/>
      <c r="L95" s="183"/>
      <c r="M95" s="184"/>
      <c r="N95" s="184"/>
      <c r="O95" s="184"/>
      <c r="P95" s="184"/>
      <c r="Q95" s="184"/>
      <c r="R95" s="184"/>
    </row>
    <row r="96" spans="1:18" s="185" customFormat="1" ht="20.25">
      <c r="A96" s="232"/>
      <c r="B96" s="232"/>
      <c r="C96" s="232"/>
      <c r="D96" s="232"/>
      <c r="E96" s="232"/>
      <c r="F96" s="232"/>
      <c r="G96" s="232"/>
      <c r="H96" s="232"/>
      <c r="I96" s="232"/>
      <c r="J96" s="232"/>
      <c r="K96" s="232"/>
      <c r="L96" s="183"/>
      <c r="M96" s="184"/>
      <c r="N96" s="184"/>
      <c r="O96" s="184"/>
      <c r="P96" s="184"/>
      <c r="Q96" s="184"/>
      <c r="R96" s="184"/>
    </row>
    <row r="97" spans="1:18" s="185" customFormat="1" ht="20.25">
      <c r="A97" s="232"/>
      <c r="B97" s="232"/>
      <c r="C97" s="232"/>
      <c r="D97" s="232"/>
      <c r="E97" s="232"/>
      <c r="F97" s="232"/>
      <c r="G97" s="232"/>
      <c r="H97" s="232"/>
      <c r="I97" s="232"/>
      <c r="J97" s="232"/>
      <c r="K97" s="232"/>
      <c r="L97" s="183"/>
      <c r="M97" s="184"/>
      <c r="N97" s="184"/>
      <c r="O97" s="184"/>
      <c r="P97" s="184"/>
      <c r="Q97" s="184"/>
      <c r="R97" s="184"/>
    </row>
    <row r="98" spans="1:18" s="185" customFormat="1" ht="20.25">
      <c r="A98" s="232"/>
      <c r="B98" s="232"/>
      <c r="C98" s="232"/>
      <c r="D98" s="232"/>
      <c r="E98" s="232"/>
      <c r="F98" s="232"/>
      <c r="G98" s="232"/>
      <c r="H98" s="232"/>
      <c r="I98" s="232"/>
      <c r="J98" s="232"/>
      <c r="K98" s="232"/>
      <c r="L98" s="183"/>
      <c r="M98" s="184"/>
      <c r="N98" s="184"/>
      <c r="O98" s="184"/>
      <c r="P98" s="184"/>
      <c r="Q98" s="184"/>
      <c r="R98" s="184"/>
    </row>
    <row r="99" spans="1:18" s="185" customFormat="1" ht="20.25">
      <c r="A99" s="232"/>
      <c r="B99" s="232"/>
      <c r="C99" s="232"/>
      <c r="D99" s="232"/>
      <c r="E99" s="232"/>
      <c r="F99" s="232"/>
      <c r="G99" s="232"/>
      <c r="H99" s="232"/>
      <c r="I99" s="232"/>
      <c r="J99" s="232"/>
      <c r="K99" s="232"/>
      <c r="L99" s="183"/>
      <c r="M99" s="184"/>
      <c r="N99" s="184"/>
      <c r="O99" s="184"/>
      <c r="P99" s="184"/>
      <c r="Q99" s="184"/>
      <c r="R99" s="184"/>
    </row>
    <row r="100" spans="1:18" s="185" customFormat="1" ht="20.25">
      <c r="A100" s="232"/>
      <c r="B100" s="232"/>
      <c r="C100" s="232"/>
      <c r="D100" s="232"/>
      <c r="E100" s="232"/>
      <c r="F100" s="232"/>
      <c r="G100" s="232"/>
      <c r="H100" s="232"/>
      <c r="I100" s="232"/>
      <c r="J100" s="232"/>
      <c r="K100" s="232"/>
      <c r="L100" s="183"/>
      <c r="M100" s="184"/>
      <c r="N100" s="184"/>
      <c r="O100" s="184"/>
      <c r="P100" s="184"/>
      <c r="Q100" s="184"/>
      <c r="R100" s="184"/>
    </row>
    <row r="101" spans="1:18" s="185" customFormat="1" ht="20.25">
      <c r="A101" s="232"/>
      <c r="B101" s="232"/>
      <c r="C101" s="232"/>
      <c r="D101" s="232"/>
      <c r="E101" s="232"/>
      <c r="F101" s="232"/>
      <c r="G101" s="232"/>
      <c r="H101" s="232"/>
      <c r="I101" s="232"/>
      <c r="J101" s="232"/>
      <c r="K101" s="232"/>
      <c r="L101" s="183"/>
      <c r="M101" s="184"/>
      <c r="N101" s="184"/>
      <c r="O101" s="184"/>
      <c r="P101" s="184"/>
      <c r="Q101" s="184"/>
      <c r="R101" s="184"/>
    </row>
    <row r="102" spans="1:18" s="185" customFormat="1" ht="20.25">
      <c r="A102" s="232"/>
      <c r="B102" s="232"/>
      <c r="C102" s="232"/>
      <c r="D102" s="232"/>
      <c r="E102" s="232"/>
      <c r="F102" s="232"/>
      <c r="G102" s="232"/>
      <c r="H102" s="232"/>
      <c r="I102" s="232"/>
      <c r="J102" s="232"/>
      <c r="K102" s="232"/>
      <c r="L102" s="183"/>
      <c r="M102" s="184"/>
      <c r="N102" s="184"/>
      <c r="O102" s="184"/>
      <c r="P102" s="184"/>
      <c r="Q102" s="184"/>
      <c r="R102" s="184"/>
    </row>
    <row r="103" spans="1:18" s="185" customFormat="1" ht="20.25">
      <c r="A103" s="232"/>
      <c r="B103" s="232"/>
      <c r="C103" s="232"/>
      <c r="D103" s="232"/>
      <c r="E103" s="232"/>
      <c r="F103" s="232"/>
      <c r="G103" s="232"/>
      <c r="H103" s="232"/>
      <c r="I103" s="232"/>
      <c r="J103" s="232"/>
      <c r="K103" s="232"/>
      <c r="L103" s="183"/>
      <c r="M103" s="184"/>
      <c r="N103" s="184"/>
      <c r="O103" s="184"/>
      <c r="P103" s="184"/>
      <c r="Q103" s="184"/>
      <c r="R103" s="184"/>
    </row>
    <row r="104" spans="1:18" s="185" customFormat="1" ht="20.25">
      <c r="A104" s="232"/>
      <c r="B104" s="232"/>
      <c r="C104" s="232"/>
      <c r="D104" s="232"/>
      <c r="E104" s="232"/>
      <c r="F104" s="232"/>
      <c r="G104" s="232"/>
      <c r="H104" s="232"/>
      <c r="I104" s="232"/>
      <c r="J104" s="232"/>
      <c r="K104" s="232"/>
      <c r="L104" s="183"/>
      <c r="M104" s="184"/>
      <c r="N104" s="184"/>
      <c r="O104" s="184"/>
      <c r="P104" s="184"/>
      <c r="Q104" s="184"/>
      <c r="R104" s="184"/>
    </row>
    <row r="105" spans="1:18" s="185" customFormat="1" ht="20.25">
      <c r="A105" s="232"/>
      <c r="B105" s="232"/>
      <c r="C105" s="232"/>
      <c r="D105" s="232"/>
      <c r="E105" s="232"/>
      <c r="F105" s="232"/>
      <c r="G105" s="232"/>
      <c r="H105" s="232"/>
      <c r="I105" s="232"/>
      <c r="J105" s="232"/>
      <c r="K105" s="232"/>
      <c r="L105" s="183"/>
      <c r="M105" s="184"/>
      <c r="N105" s="184"/>
      <c r="O105" s="184"/>
      <c r="P105" s="184"/>
      <c r="Q105" s="184"/>
      <c r="R105" s="184"/>
    </row>
    <row r="106" spans="1:18" s="185" customFormat="1" ht="20.25">
      <c r="A106" s="232"/>
      <c r="B106" s="232"/>
      <c r="C106" s="232"/>
      <c r="D106" s="232"/>
      <c r="E106" s="232"/>
      <c r="F106" s="232"/>
      <c r="G106" s="232"/>
      <c r="H106" s="232"/>
      <c r="I106" s="232"/>
      <c r="J106" s="232"/>
      <c r="K106" s="232"/>
      <c r="L106" s="183"/>
      <c r="M106" s="184"/>
      <c r="N106" s="184"/>
      <c r="O106" s="184"/>
      <c r="P106" s="184"/>
      <c r="Q106" s="184"/>
      <c r="R106" s="184"/>
    </row>
    <row r="107" spans="1:18" s="185" customFormat="1" ht="20.25">
      <c r="A107" s="232"/>
      <c r="B107" s="232"/>
      <c r="C107" s="232"/>
      <c r="D107" s="232"/>
      <c r="E107" s="232"/>
      <c r="F107" s="232"/>
      <c r="G107" s="232"/>
      <c r="H107" s="232"/>
      <c r="I107" s="232"/>
      <c r="J107" s="232"/>
      <c r="K107" s="232"/>
      <c r="L107" s="183"/>
      <c r="M107" s="184"/>
      <c r="N107" s="184"/>
      <c r="O107" s="184"/>
      <c r="P107" s="184"/>
      <c r="Q107" s="184"/>
      <c r="R107" s="184"/>
    </row>
    <row r="108" spans="1:18" s="185" customFormat="1" ht="20.25">
      <c r="A108" s="232"/>
      <c r="B108" s="232"/>
      <c r="C108" s="232"/>
      <c r="D108" s="232"/>
      <c r="E108" s="232"/>
      <c r="F108" s="232"/>
      <c r="G108" s="232"/>
      <c r="H108" s="232"/>
      <c r="I108" s="232"/>
      <c r="J108" s="232"/>
      <c r="K108" s="232"/>
      <c r="L108" s="183"/>
      <c r="M108" s="184"/>
      <c r="N108" s="184"/>
      <c r="O108" s="184"/>
      <c r="P108" s="184"/>
      <c r="Q108" s="184"/>
      <c r="R108" s="184"/>
    </row>
    <row r="109" spans="1:18" s="185" customFormat="1" ht="20.25">
      <c r="A109" s="232"/>
      <c r="B109" s="232"/>
      <c r="C109" s="232"/>
      <c r="D109" s="232"/>
      <c r="E109" s="232"/>
      <c r="F109" s="232"/>
      <c r="G109" s="232"/>
      <c r="H109" s="232"/>
      <c r="I109" s="232"/>
      <c r="J109" s="232"/>
      <c r="K109" s="232"/>
      <c r="L109" s="183"/>
      <c r="M109" s="184"/>
      <c r="N109" s="184"/>
      <c r="O109" s="184"/>
      <c r="P109" s="184"/>
      <c r="Q109" s="184"/>
      <c r="R109" s="184"/>
    </row>
    <row r="110" spans="1:18" s="185" customFormat="1" ht="20.25">
      <c r="A110" s="232"/>
      <c r="B110" s="232"/>
      <c r="C110" s="232"/>
      <c r="D110" s="232"/>
      <c r="E110" s="232"/>
      <c r="F110" s="232"/>
      <c r="G110" s="232"/>
      <c r="H110" s="232"/>
      <c r="I110" s="232"/>
      <c r="J110" s="232"/>
      <c r="K110" s="232"/>
      <c r="L110" s="183"/>
      <c r="M110" s="184"/>
      <c r="N110" s="184"/>
      <c r="O110" s="184"/>
      <c r="P110" s="184"/>
      <c r="Q110" s="184"/>
      <c r="R110" s="184"/>
    </row>
    <row r="111" spans="1:18" s="185" customFormat="1" ht="20.25">
      <c r="A111" s="232"/>
      <c r="B111" s="232"/>
      <c r="C111" s="232"/>
      <c r="D111" s="232"/>
      <c r="E111" s="232"/>
      <c r="F111" s="232"/>
      <c r="G111" s="232"/>
      <c r="H111" s="232"/>
      <c r="I111" s="232"/>
      <c r="J111" s="232"/>
      <c r="K111" s="232"/>
      <c r="L111" s="183"/>
      <c r="M111" s="184"/>
      <c r="N111" s="184"/>
      <c r="O111" s="184"/>
      <c r="P111" s="184"/>
      <c r="Q111" s="184"/>
      <c r="R111" s="184"/>
    </row>
    <row r="112" spans="1:18" s="185" customFormat="1" ht="20.25">
      <c r="A112" s="232"/>
      <c r="B112" s="232"/>
      <c r="C112" s="232"/>
      <c r="D112" s="232"/>
      <c r="E112" s="232"/>
      <c r="F112" s="232"/>
      <c r="G112" s="232"/>
      <c r="H112" s="232"/>
      <c r="I112" s="232"/>
      <c r="J112" s="232"/>
      <c r="K112" s="232"/>
      <c r="L112" s="183"/>
      <c r="M112" s="184"/>
      <c r="N112" s="184"/>
      <c r="O112" s="184"/>
      <c r="P112" s="184"/>
      <c r="Q112" s="184"/>
      <c r="R112" s="184"/>
    </row>
    <row r="113" spans="1:18" s="185" customFormat="1" ht="20.25">
      <c r="A113" s="232"/>
      <c r="B113" s="232"/>
      <c r="C113" s="232"/>
      <c r="D113" s="232"/>
      <c r="E113" s="232"/>
      <c r="F113" s="232"/>
      <c r="G113" s="232"/>
      <c r="H113" s="232"/>
      <c r="I113" s="232"/>
      <c r="J113" s="232"/>
      <c r="K113" s="232"/>
      <c r="L113" s="183"/>
      <c r="M113" s="184"/>
      <c r="N113" s="184"/>
      <c r="O113" s="184"/>
      <c r="P113" s="184"/>
      <c r="Q113" s="184"/>
      <c r="R113" s="184"/>
    </row>
    <row r="114" spans="1:18" s="185" customFormat="1" ht="20.25">
      <c r="A114" s="232"/>
      <c r="B114" s="232"/>
      <c r="C114" s="232"/>
      <c r="D114" s="232"/>
      <c r="E114" s="232"/>
      <c r="F114" s="232"/>
      <c r="G114" s="232"/>
      <c r="H114" s="232"/>
      <c r="I114" s="232"/>
      <c r="J114" s="232"/>
      <c r="K114" s="232"/>
      <c r="L114" s="183"/>
      <c r="M114" s="184"/>
      <c r="N114" s="184"/>
      <c r="O114" s="184"/>
      <c r="P114" s="184"/>
      <c r="Q114" s="184"/>
      <c r="R114" s="184"/>
    </row>
    <row r="115" spans="1:18" s="185" customFormat="1" ht="20.25">
      <c r="A115" s="232"/>
      <c r="B115" s="232"/>
      <c r="C115" s="232"/>
      <c r="D115" s="232"/>
      <c r="E115" s="232"/>
      <c r="F115" s="232"/>
      <c r="G115" s="232"/>
      <c r="H115" s="232"/>
      <c r="I115" s="232"/>
      <c r="J115" s="232"/>
      <c r="K115" s="232"/>
      <c r="L115" s="183"/>
      <c r="M115" s="184"/>
      <c r="N115" s="184"/>
      <c r="O115" s="184"/>
      <c r="P115" s="184"/>
      <c r="Q115" s="184"/>
      <c r="R115" s="184"/>
    </row>
    <row r="116" spans="1:18" s="185" customFormat="1" ht="20.25">
      <c r="A116" s="232"/>
      <c r="B116" s="232"/>
      <c r="C116" s="232"/>
      <c r="D116" s="232"/>
      <c r="E116" s="232"/>
      <c r="F116" s="232"/>
      <c r="G116" s="232"/>
      <c r="H116" s="232"/>
      <c r="I116" s="232"/>
      <c r="J116" s="232"/>
      <c r="K116" s="232"/>
      <c r="L116" s="183"/>
      <c r="M116" s="184"/>
      <c r="N116" s="184"/>
      <c r="O116" s="184"/>
      <c r="P116" s="184"/>
      <c r="Q116" s="184"/>
      <c r="R116" s="184"/>
    </row>
    <row r="117" spans="1:18" s="185" customFormat="1" ht="20.25">
      <c r="A117" s="232"/>
      <c r="B117" s="232"/>
      <c r="C117" s="232"/>
      <c r="D117" s="232"/>
      <c r="E117" s="232"/>
      <c r="F117" s="232"/>
      <c r="G117" s="232"/>
      <c r="H117" s="232"/>
      <c r="I117" s="232"/>
      <c r="J117" s="232"/>
      <c r="K117" s="232"/>
      <c r="L117" s="183"/>
      <c r="M117" s="184"/>
      <c r="N117" s="184"/>
      <c r="O117" s="184"/>
      <c r="P117" s="184"/>
      <c r="Q117" s="184"/>
      <c r="R117" s="184"/>
    </row>
    <row r="118" spans="1:18" s="185" customFormat="1" ht="20.25">
      <c r="A118" s="232"/>
      <c r="B118" s="232"/>
      <c r="C118" s="232"/>
      <c r="D118" s="232"/>
      <c r="E118" s="232"/>
      <c r="F118" s="232"/>
      <c r="G118" s="232"/>
      <c r="H118" s="232"/>
      <c r="I118" s="232"/>
      <c r="J118" s="232"/>
      <c r="K118" s="232"/>
      <c r="L118" s="183"/>
      <c r="M118" s="184"/>
      <c r="N118" s="184"/>
      <c r="O118" s="184"/>
      <c r="P118" s="184"/>
      <c r="Q118" s="184"/>
      <c r="R118" s="184"/>
    </row>
    <row r="119" spans="1:18" s="185" customFormat="1" ht="20.25">
      <c r="A119" s="232"/>
      <c r="B119" s="232"/>
      <c r="C119" s="232"/>
      <c r="D119" s="232"/>
      <c r="E119" s="232"/>
      <c r="F119" s="232"/>
      <c r="G119" s="232"/>
      <c r="H119" s="232"/>
      <c r="I119" s="232"/>
      <c r="J119" s="232"/>
      <c r="K119" s="232"/>
      <c r="L119" s="183"/>
      <c r="M119" s="184"/>
      <c r="N119" s="184"/>
      <c r="O119" s="184"/>
      <c r="P119" s="184"/>
      <c r="Q119" s="184"/>
      <c r="R119" s="184"/>
    </row>
    <row r="120" spans="1:18" s="185" customFormat="1" ht="20.25">
      <c r="A120" s="232"/>
      <c r="B120" s="232"/>
      <c r="C120" s="232"/>
      <c r="D120" s="232"/>
      <c r="E120" s="232"/>
      <c r="F120" s="232"/>
      <c r="G120" s="232"/>
      <c r="H120" s="232"/>
      <c r="I120" s="232"/>
      <c r="J120" s="232"/>
      <c r="K120" s="232"/>
      <c r="L120" s="183"/>
      <c r="M120" s="184"/>
      <c r="N120" s="184"/>
      <c r="O120" s="184"/>
      <c r="P120" s="184"/>
      <c r="Q120" s="184"/>
      <c r="R120" s="184"/>
    </row>
    <row r="121" spans="1:18" s="185" customFormat="1" ht="20.25">
      <c r="A121" s="232"/>
      <c r="B121" s="232"/>
      <c r="C121" s="232"/>
      <c r="D121" s="232"/>
      <c r="E121" s="232"/>
      <c r="F121" s="232"/>
      <c r="G121" s="232"/>
      <c r="H121" s="232"/>
      <c r="I121" s="232"/>
      <c r="J121" s="232"/>
      <c r="K121" s="232"/>
      <c r="L121" s="183"/>
      <c r="M121" s="184"/>
      <c r="N121" s="184"/>
      <c r="O121" s="184"/>
      <c r="P121" s="184"/>
      <c r="Q121" s="184"/>
      <c r="R121" s="184"/>
    </row>
    <row r="122" spans="1:18" s="185" customFormat="1" ht="20.25">
      <c r="A122" s="232"/>
      <c r="B122" s="232"/>
      <c r="C122" s="232"/>
      <c r="D122" s="232"/>
      <c r="E122" s="232"/>
      <c r="F122" s="232"/>
      <c r="G122" s="232"/>
      <c r="H122" s="232"/>
      <c r="I122" s="232"/>
      <c r="J122" s="232"/>
      <c r="K122" s="232"/>
      <c r="L122" s="183"/>
      <c r="M122" s="184"/>
      <c r="N122" s="184"/>
      <c r="O122" s="184"/>
      <c r="P122" s="184"/>
      <c r="Q122" s="184"/>
      <c r="R122" s="184"/>
    </row>
    <row r="123" spans="1:18" ht="20.25">
      <c r="A123" s="226"/>
      <c r="B123" s="226"/>
      <c r="C123" s="226"/>
      <c r="D123" s="226"/>
      <c r="E123" s="226"/>
      <c r="F123" s="226"/>
      <c r="G123" s="226"/>
      <c r="H123" s="226"/>
      <c r="I123" s="226"/>
      <c r="J123" s="226"/>
      <c r="K123" s="226"/>
    </row>
    <row r="124" spans="1:18" ht="20.25">
      <c r="A124" s="226"/>
      <c r="B124" s="226"/>
      <c r="C124" s="226"/>
      <c r="D124" s="226"/>
      <c r="E124" s="226"/>
      <c r="F124" s="226"/>
      <c r="G124" s="226"/>
      <c r="H124" s="226"/>
      <c r="I124" s="226"/>
      <c r="J124" s="226"/>
      <c r="K124" s="226"/>
    </row>
    <row r="125" spans="1:18" ht="20.25">
      <c r="A125" s="226"/>
      <c r="B125" s="226"/>
      <c r="C125" s="226"/>
      <c r="D125" s="226"/>
      <c r="E125" s="226"/>
      <c r="F125" s="226"/>
      <c r="G125" s="226"/>
      <c r="H125" s="226"/>
      <c r="I125" s="226"/>
      <c r="J125" s="226"/>
      <c r="K125" s="226"/>
    </row>
    <row r="126" spans="1:18" ht="20.25">
      <c r="A126" s="226"/>
      <c r="B126" s="226"/>
      <c r="C126" s="226"/>
      <c r="D126" s="226"/>
      <c r="E126" s="226"/>
      <c r="F126" s="226"/>
      <c r="G126" s="226"/>
      <c r="H126" s="226"/>
      <c r="I126" s="226"/>
      <c r="J126" s="226"/>
      <c r="K126" s="226"/>
    </row>
    <row r="127" spans="1:18" ht="20.25">
      <c r="A127" s="226"/>
      <c r="B127" s="226"/>
      <c r="C127" s="226"/>
      <c r="D127" s="226"/>
      <c r="E127" s="226"/>
      <c r="F127" s="226"/>
      <c r="G127" s="226"/>
      <c r="H127" s="226"/>
      <c r="I127" s="226"/>
      <c r="J127" s="226"/>
      <c r="K127" s="226"/>
    </row>
    <row r="128" spans="1:18" ht="20.25">
      <c r="A128" s="226"/>
      <c r="B128" s="226"/>
      <c r="C128" s="226"/>
      <c r="D128" s="226"/>
      <c r="E128" s="226"/>
      <c r="F128" s="226"/>
      <c r="G128" s="226"/>
      <c r="H128" s="226"/>
      <c r="I128" s="226"/>
      <c r="J128" s="226"/>
      <c r="K128" s="226"/>
    </row>
    <row r="129" spans="1:11" ht="20.25">
      <c r="A129" s="226"/>
      <c r="B129" s="226"/>
      <c r="C129" s="226"/>
      <c r="D129" s="226"/>
      <c r="E129" s="226"/>
      <c r="F129" s="226"/>
      <c r="G129" s="226"/>
      <c r="H129" s="226"/>
      <c r="I129" s="226"/>
      <c r="J129" s="226"/>
      <c r="K129" s="226"/>
    </row>
    <row r="130" spans="1:11" ht="20.25">
      <c r="A130" s="226"/>
      <c r="B130" s="226"/>
      <c r="C130" s="226"/>
      <c r="D130" s="226"/>
      <c r="E130" s="226"/>
      <c r="F130" s="226"/>
      <c r="G130" s="226"/>
      <c r="H130" s="226"/>
      <c r="I130" s="226"/>
      <c r="J130" s="226"/>
      <c r="K130" s="226"/>
    </row>
    <row r="131" spans="1:11" ht="20.25">
      <c r="A131" s="226"/>
      <c r="B131" s="226"/>
      <c r="C131" s="226"/>
      <c r="D131" s="226"/>
      <c r="E131" s="226"/>
      <c r="F131" s="226"/>
      <c r="G131" s="226"/>
      <c r="H131" s="226"/>
      <c r="I131" s="226"/>
      <c r="J131" s="226"/>
      <c r="K131" s="226"/>
    </row>
    <row r="132" spans="1:11" ht="20.25">
      <c r="A132" s="226"/>
      <c r="B132" s="226"/>
      <c r="C132" s="226"/>
      <c r="D132" s="226"/>
      <c r="E132" s="226"/>
      <c r="F132" s="226"/>
      <c r="G132" s="226"/>
      <c r="H132" s="226"/>
      <c r="I132" s="226"/>
      <c r="J132" s="226"/>
      <c r="K132" s="226"/>
    </row>
    <row r="133" spans="1:11" ht="20.25">
      <c r="A133" s="226"/>
      <c r="B133" s="226"/>
      <c r="C133" s="226"/>
      <c r="D133" s="226"/>
      <c r="E133" s="226"/>
      <c r="F133" s="226"/>
      <c r="G133" s="226"/>
      <c r="H133" s="226"/>
      <c r="I133" s="226"/>
      <c r="J133" s="226"/>
      <c r="K133" s="226"/>
    </row>
    <row r="134" spans="1:11" ht="20.25">
      <c r="A134" s="226"/>
      <c r="B134" s="226"/>
      <c r="C134" s="226"/>
      <c r="D134" s="226"/>
      <c r="E134" s="226"/>
      <c r="F134" s="226"/>
      <c r="G134" s="226"/>
      <c r="H134" s="226"/>
      <c r="I134" s="226"/>
      <c r="J134" s="226"/>
      <c r="K134" s="226"/>
    </row>
    <row r="135" spans="1:11" ht="20.25">
      <c r="A135" s="226"/>
      <c r="B135" s="226"/>
      <c r="C135" s="226"/>
      <c r="D135" s="226"/>
      <c r="E135" s="226"/>
      <c r="F135" s="226"/>
      <c r="G135" s="226"/>
      <c r="H135" s="226"/>
      <c r="I135" s="226"/>
      <c r="J135" s="226"/>
      <c r="K135" s="226"/>
    </row>
    <row r="136" spans="1:11" ht="20.25">
      <c r="A136" s="226"/>
      <c r="B136" s="226"/>
      <c r="C136" s="226"/>
      <c r="D136" s="226"/>
      <c r="E136" s="226"/>
      <c r="F136" s="226"/>
      <c r="G136" s="226"/>
      <c r="H136" s="226"/>
      <c r="I136" s="226"/>
      <c r="J136" s="226"/>
      <c r="K136" s="226"/>
    </row>
    <row r="137" spans="1:11" ht="20.25">
      <c r="A137" s="226"/>
      <c r="B137" s="226"/>
      <c r="C137" s="226"/>
      <c r="D137" s="226"/>
      <c r="E137" s="226"/>
      <c r="F137" s="226"/>
      <c r="G137" s="226"/>
      <c r="H137" s="226"/>
      <c r="I137" s="226"/>
      <c r="J137" s="226"/>
      <c r="K137" s="226"/>
    </row>
    <row r="138" spans="1:11" ht="20.25">
      <c r="A138" s="226"/>
      <c r="B138" s="226"/>
      <c r="C138" s="226"/>
      <c r="D138" s="226"/>
      <c r="E138" s="226"/>
      <c r="F138" s="226"/>
      <c r="G138" s="226"/>
      <c r="H138" s="226"/>
      <c r="I138" s="226"/>
      <c r="J138" s="226"/>
      <c r="K138" s="226"/>
    </row>
    <row r="139" spans="1:11" ht="20.25">
      <c r="A139" s="226"/>
      <c r="B139" s="226"/>
      <c r="C139" s="226"/>
      <c r="D139" s="226"/>
      <c r="E139" s="226"/>
      <c r="F139" s="226"/>
      <c r="G139" s="226"/>
      <c r="H139" s="226"/>
      <c r="I139" s="226"/>
      <c r="J139" s="226"/>
      <c r="K139" s="226"/>
    </row>
    <row r="140" spans="1:11" ht="20.25">
      <c r="A140" s="226"/>
      <c r="B140" s="226"/>
      <c r="C140" s="226"/>
      <c r="D140" s="226"/>
      <c r="E140" s="226"/>
      <c r="F140" s="226"/>
      <c r="G140" s="226"/>
      <c r="H140" s="226"/>
      <c r="I140" s="226"/>
      <c r="J140" s="226"/>
      <c r="K140" s="226"/>
    </row>
    <row r="141" spans="1:11" ht="20.25">
      <c r="A141" s="226"/>
      <c r="B141" s="226"/>
      <c r="C141" s="226"/>
      <c r="D141" s="226"/>
      <c r="E141" s="226"/>
      <c r="F141" s="226"/>
      <c r="G141" s="226"/>
      <c r="H141" s="226"/>
      <c r="I141" s="226"/>
      <c r="J141" s="226"/>
      <c r="K141" s="226"/>
    </row>
    <row r="142" spans="1:11" ht="20.25">
      <c r="A142" s="226"/>
      <c r="B142" s="226"/>
      <c r="C142" s="226"/>
      <c r="D142" s="226"/>
      <c r="E142" s="226"/>
      <c r="F142" s="226"/>
      <c r="G142" s="226"/>
      <c r="H142" s="226"/>
      <c r="I142" s="226"/>
      <c r="J142" s="226"/>
      <c r="K142" s="226"/>
    </row>
    <row r="143" spans="1:11" ht="20.25">
      <c r="A143" s="226"/>
      <c r="B143" s="226"/>
      <c r="C143" s="226"/>
      <c r="D143" s="226"/>
      <c r="E143" s="226"/>
      <c r="F143" s="226"/>
      <c r="G143" s="226"/>
      <c r="H143" s="226"/>
      <c r="I143" s="226"/>
      <c r="J143" s="226"/>
      <c r="K143" s="226"/>
    </row>
    <row r="144" spans="1:11" ht="20.25">
      <c r="A144" s="226"/>
      <c r="B144" s="226"/>
      <c r="C144" s="226"/>
      <c r="D144" s="226"/>
      <c r="E144" s="226"/>
      <c r="F144" s="226"/>
      <c r="G144" s="226"/>
      <c r="H144" s="226"/>
      <c r="I144" s="226"/>
      <c r="J144" s="226"/>
      <c r="K144" s="226"/>
    </row>
    <row r="145" spans="1:11" ht="20.25">
      <c r="A145" s="226"/>
      <c r="B145" s="226"/>
      <c r="C145" s="226"/>
      <c r="D145" s="226"/>
      <c r="E145" s="226"/>
      <c r="F145" s="226"/>
      <c r="G145" s="226"/>
      <c r="H145" s="226"/>
      <c r="I145" s="226"/>
      <c r="J145" s="226"/>
      <c r="K145" s="226"/>
    </row>
    <row r="146" spans="1:11" ht="20.25">
      <c r="A146" s="226"/>
      <c r="B146" s="226"/>
      <c r="C146" s="226"/>
      <c r="D146" s="226"/>
      <c r="E146" s="226"/>
      <c r="F146" s="226"/>
      <c r="G146" s="226"/>
      <c r="H146" s="226"/>
      <c r="I146" s="226"/>
      <c r="J146" s="226"/>
      <c r="K146" s="226"/>
    </row>
    <row r="147" spans="1:11" ht="20.25">
      <c r="A147" s="226"/>
      <c r="B147" s="226"/>
      <c r="C147" s="226"/>
      <c r="D147" s="226"/>
      <c r="E147" s="226"/>
      <c r="F147" s="226"/>
      <c r="G147" s="226"/>
      <c r="H147" s="226"/>
      <c r="I147" s="226"/>
      <c r="J147" s="226"/>
      <c r="K147" s="226"/>
    </row>
    <row r="148" spans="1:11" ht="20.25">
      <c r="A148" s="226"/>
      <c r="B148" s="226"/>
      <c r="C148" s="226"/>
      <c r="D148" s="226"/>
      <c r="E148" s="226"/>
      <c r="F148" s="226"/>
      <c r="G148" s="226"/>
      <c r="H148" s="226"/>
      <c r="I148" s="226"/>
      <c r="J148" s="226"/>
      <c r="K148" s="226"/>
    </row>
    <row r="149" spans="1:11" ht="20.25">
      <c r="A149" s="226"/>
      <c r="B149" s="226"/>
      <c r="C149" s="226"/>
      <c r="D149" s="226"/>
      <c r="E149" s="226"/>
      <c r="F149" s="226"/>
      <c r="G149" s="226"/>
      <c r="H149" s="226"/>
      <c r="I149" s="226"/>
      <c r="J149" s="226"/>
      <c r="K149" s="226"/>
    </row>
    <row r="150" spans="1:11" ht="20.25">
      <c r="A150" s="226"/>
      <c r="B150" s="226"/>
      <c r="C150" s="226"/>
      <c r="D150" s="226"/>
      <c r="E150" s="226"/>
      <c r="F150" s="226"/>
      <c r="G150" s="226"/>
      <c r="H150" s="226"/>
      <c r="I150" s="226"/>
      <c r="J150" s="226"/>
      <c r="K150" s="226"/>
    </row>
    <row r="151" spans="1:11" ht="20.25">
      <c r="A151" s="226"/>
      <c r="B151" s="226"/>
      <c r="C151" s="226"/>
      <c r="D151" s="226"/>
      <c r="E151" s="226"/>
      <c r="F151" s="226"/>
      <c r="G151" s="226"/>
      <c r="H151" s="226"/>
      <c r="I151" s="226"/>
      <c r="J151" s="226"/>
      <c r="K151" s="226"/>
    </row>
    <row r="152" spans="1:11" ht="20.25">
      <c r="A152" s="226"/>
      <c r="B152" s="226"/>
      <c r="C152" s="226"/>
      <c r="D152" s="226"/>
      <c r="E152" s="226"/>
      <c r="F152" s="226"/>
      <c r="G152" s="226"/>
      <c r="H152" s="226"/>
      <c r="I152" s="226"/>
      <c r="J152" s="226"/>
      <c r="K152" s="226"/>
    </row>
    <row r="153" spans="1:11" ht="20.25">
      <c r="A153" s="226"/>
      <c r="B153" s="226"/>
      <c r="C153" s="226"/>
      <c r="D153" s="226"/>
      <c r="E153" s="226"/>
      <c r="F153" s="226"/>
      <c r="G153" s="226"/>
      <c r="H153" s="226"/>
      <c r="I153" s="226"/>
      <c r="J153" s="226"/>
      <c r="K153" s="226"/>
    </row>
    <row r="154" spans="1:11" ht="20.25">
      <c r="A154" s="226"/>
      <c r="B154" s="226"/>
      <c r="C154" s="226"/>
      <c r="D154" s="226"/>
      <c r="E154" s="226"/>
      <c r="F154" s="226"/>
      <c r="G154" s="226"/>
      <c r="H154" s="226"/>
      <c r="I154" s="226"/>
      <c r="J154" s="226"/>
      <c r="K154" s="226"/>
    </row>
    <row r="155" spans="1:11" ht="20.25">
      <c r="A155" s="226"/>
      <c r="B155" s="226"/>
      <c r="C155" s="226"/>
      <c r="D155" s="226"/>
      <c r="E155" s="226"/>
      <c r="F155" s="226"/>
      <c r="G155" s="226"/>
      <c r="H155" s="226"/>
      <c r="I155" s="226"/>
      <c r="J155" s="226"/>
      <c r="K155" s="226"/>
    </row>
    <row r="156" spans="1:11" ht="20.25">
      <c r="A156" s="226"/>
      <c r="B156" s="226"/>
      <c r="C156" s="226"/>
      <c r="D156" s="226"/>
      <c r="E156" s="226"/>
      <c r="F156" s="226"/>
      <c r="G156" s="226"/>
      <c r="H156" s="226"/>
      <c r="I156" s="226"/>
      <c r="J156" s="226"/>
      <c r="K156" s="226"/>
    </row>
    <row r="157" spans="1:11" ht="20.25">
      <c r="A157" s="226"/>
      <c r="B157" s="226"/>
      <c r="C157" s="226"/>
      <c r="D157" s="226"/>
      <c r="E157" s="226"/>
      <c r="F157" s="226"/>
      <c r="G157" s="226"/>
      <c r="H157" s="226"/>
      <c r="I157" s="226"/>
      <c r="J157" s="226"/>
      <c r="K157" s="226"/>
    </row>
    <row r="158" spans="1:11" ht="20.25">
      <c r="A158" s="226"/>
      <c r="B158" s="226"/>
      <c r="C158" s="226"/>
      <c r="D158" s="226"/>
      <c r="E158" s="226"/>
      <c r="F158" s="226"/>
      <c r="G158" s="226"/>
      <c r="H158" s="226"/>
      <c r="I158" s="226"/>
      <c r="J158" s="226"/>
      <c r="K158" s="226"/>
    </row>
    <row r="159" spans="1:11" ht="20.25">
      <c r="A159" s="226"/>
      <c r="B159" s="226"/>
      <c r="C159" s="226"/>
      <c r="D159" s="226"/>
      <c r="E159" s="226"/>
      <c r="F159" s="226"/>
      <c r="G159" s="226"/>
      <c r="H159" s="226"/>
      <c r="I159" s="226"/>
      <c r="J159" s="226"/>
      <c r="K159" s="226"/>
    </row>
    <row r="160" spans="1:11" ht="20.25">
      <c r="A160" s="226"/>
      <c r="B160" s="226"/>
      <c r="C160" s="226"/>
      <c r="D160" s="226"/>
      <c r="E160" s="226"/>
      <c r="F160" s="226"/>
      <c r="G160" s="226"/>
      <c r="H160" s="226"/>
      <c r="I160" s="226"/>
      <c r="J160" s="226"/>
      <c r="K160" s="226"/>
    </row>
    <row r="161" spans="1:11" ht="20.25">
      <c r="A161" s="226"/>
      <c r="B161" s="226"/>
      <c r="C161" s="226"/>
      <c r="D161" s="226"/>
      <c r="E161" s="226"/>
      <c r="F161" s="226"/>
      <c r="G161" s="226"/>
      <c r="H161" s="226"/>
      <c r="I161" s="226"/>
      <c r="J161" s="226"/>
      <c r="K161" s="226"/>
    </row>
    <row r="162" spans="1:11" ht="20.25">
      <c r="A162" s="226"/>
      <c r="B162" s="226"/>
      <c r="C162" s="226"/>
      <c r="D162" s="226"/>
      <c r="E162" s="226"/>
      <c r="F162" s="226"/>
      <c r="G162" s="226"/>
      <c r="H162" s="226"/>
      <c r="I162" s="226"/>
      <c r="J162" s="226"/>
      <c r="K162" s="226"/>
    </row>
    <row r="163" spans="1:11" ht="20.25">
      <c r="A163" s="226"/>
      <c r="B163" s="226"/>
      <c r="C163" s="226"/>
      <c r="D163" s="226"/>
      <c r="E163" s="226"/>
      <c r="F163" s="226"/>
      <c r="G163" s="226"/>
      <c r="H163" s="226"/>
      <c r="I163" s="226"/>
      <c r="J163" s="226"/>
      <c r="K163" s="226"/>
    </row>
    <row r="164" spans="1:11" ht="20.25">
      <c r="A164" s="226"/>
      <c r="B164" s="226"/>
      <c r="C164" s="226"/>
      <c r="D164" s="226"/>
      <c r="E164" s="226"/>
      <c r="F164" s="226"/>
      <c r="G164" s="226"/>
      <c r="H164" s="226"/>
      <c r="I164" s="226"/>
      <c r="J164" s="226"/>
      <c r="K164" s="226"/>
    </row>
    <row r="165" spans="1:11" ht="20.25">
      <c r="A165" s="226"/>
      <c r="B165" s="226"/>
      <c r="C165" s="226"/>
      <c r="D165" s="226"/>
      <c r="E165" s="226"/>
      <c r="F165" s="226"/>
      <c r="G165" s="226"/>
      <c r="H165" s="226"/>
      <c r="I165" s="226"/>
      <c r="J165" s="226"/>
      <c r="K165" s="226"/>
    </row>
    <row r="166" spans="1:11" ht="20.25">
      <c r="A166" s="226"/>
      <c r="B166" s="226"/>
      <c r="C166" s="226"/>
      <c r="D166" s="226"/>
      <c r="E166" s="226"/>
      <c r="F166" s="226"/>
      <c r="G166" s="226"/>
      <c r="H166" s="226"/>
      <c r="I166" s="226"/>
      <c r="J166" s="226"/>
      <c r="K166" s="226"/>
    </row>
    <row r="167" spans="1:11" ht="20.25">
      <c r="A167" s="226"/>
      <c r="B167" s="226"/>
      <c r="C167" s="226"/>
      <c r="D167" s="226"/>
      <c r="E167" s="226"/>
      <c r="F167" s="226"/>
      <c r="G167" s="226"/>
      <c r="H167" s="226"/>
      <c r="I167" s="226"/>
      <c r="J167" s="226"/>
      <c r="K167" s="226"/>
    </row>
    <row r="168" spans="1:11" ht="20.25">
      <c r="A168" s="226"/>
      <c r="B168" s="226"/>
      <c r="C168" s="226"/>
      <c r="D168" s="226"/>
      <c r="E168" s="226"/>
      <c r="F168" s="226"/>
      <c r="G168" s="226"/>
      <c r="H168" s="226"/>
      <c r="I168" s="226"/>
      <c r="J168" s="226"/>
      <c r="K168" s="226"/>
    </row>
    <row r="169" spans="1:11" ht="20.25">
      <c r="A169" s="226"/>
      <c r="B169" s="226"/>
      <c r="C169" s="226"/>
      <c r="D169" s="226"/>
      <c r="E169" s="226"/>
      <c r="F169" s="226"/>
      <c r="G169" s="226"/>
      <c r="H169" s="226"/>
      <c r="I169" s="226"/>
      <c r="J169" s="226"/>
      <c r="K169" s="226"/>
    </row>
    <row r="170" spans="1:11" ht="20.25">
      <c r="A170" s="226"/>
      <c r="B170" s="226"/>
      <c r="C170" s="226"/>
      <c r="D170" s="226"/>
      <c r="E170" s="226"/>
      <c r="F170" s="226"/>
      <c r="G170" s="226"/>
      <c r="H170" s="226"/>
      <c r="I170" s="226"/>
      <c r="J170" s="226"/>
      <c r="K170" s="226"/>
    </row>
    <row r="171" spans="1:11" ht="20.25">
      <c r="A171" s="226"/>
      <c r="B171" s="226"/>
      <c r="C171" s="226"/>
      <c r="D171" s="226"/>
      <c r="E171" s="226"/>
      <c r="F171" s="226"/>
      <c r="G171" s="226"/>
      <c r="H171" s="226"/>
      <c r="I171" s="226"/>
      <c r="J171" s="226"/>
      <c r="K171" s="226"/>
    </row>
    <row r="172" spans="1:11" ht="20.25">
      <c r="A172" s="226"/>
      <c r="B172" s="226"/>
      <c r="C172" s="226"/>
      <c r="D172" s="226"/>
      <c r="E172" s="226"/>
      <c r="F172" s="226"/>
      <c r="G172" s="226"/>
      <c r="H172" s="226"/>
      <c r="I172" s="226"/>
      <c r="J172" s="226"/>
      <c r="K172" s="226"/>
    </row>
    <row r="173" spans="1:11" ht="20.25">
      <c r="A173" s="226"/>
      <c r="B173" s="226"/>
      <c r="C173" s="226"/>
      <c r="D173" s="226"/>
      <c r="E173" s="226"/>
      <c r="F173" s="226"/>
      <c r="G173" s="226"/>
      <c r="H173" s="226"/>
      <c r="I173" s="226"/>
      <c r="J173" s="226"/>
      <c r="K173" s="226"/>
    </row>
    <row r="174" spans="1:11" ht="20.25">
      <c r="A174" s="226"/>
      <c r="B174" s="226"/>
      <c r="C174" s="226"/>
      <c r="D174" s="226"/>
      <c r="E174" s="226"/>
      <c r="F174" s="226"/>
      <c r="G174" s="226"/>
      <c r="H174" s="226"/>
      <c r="I174" s="226"/>
      <c r="J174" s="226"/>
      <c r="K174" s="226"/>
    </row>
    <row r="175" spans="1:11" ht="20.25">
      <c r="A175" s="226"/>
      <c r="B175" s="226"/>
      <c r="C175" s="226"/>
      <c r="D175" s="226"/>
      <c r="E175" s="226"/>
      <c r="F175" s="226"/>
      <c r="G175" s="226"/>
      <c r="H175" s="226"/>
      <c r="I175" s="226"/>
      <c r="J175" s="226"/>
      <c r="K175" s="226"/>
    </row>
    <row r="176" spans="1:11" ht="20.25">
      <c r="A176" s="226"/>
      <c r="B176" s="226"/>
      <c r="C176" s="226"/>
      <c r="D176" s="226"/>
      <c r="E176" s="226"/>
      <c r="F176" s="226"/>
      <c r="G176" s="226"/>
      <c r="H176" s="226"/>
      <c r="I176" s="226"/>
      <c r="J176" s="226"/>
      <c r="K176" s="226"/>
    </row>
    <row r="177" spans="1:11" ht="20.25">
      <c r="A177" s="226"/>
      <c r="B177" s="226"/>
      <c r="C177" s="226"/>
      <c r="D177" s="226"/>
      <c r="E177" s="226"/>
      <c r="F177" s="226"/>
      <c r="G177" s="226"/>
      <c r="H177" s="226"/>
      <c r="I177" s="226"/>
      <c r="J177" s="226"/>
      <c r="K177" s="226"/>
    </row>
    <row r="178" spans="1:11" ht="20.25">
      <c r="A178" s="226"/>
      <c r="B178" s="226"/>
      <c r="C178" s="226"/>
      <c r="D178" s="226"/>
      <c r="E178" s="226"/>
      <c r="F178" s="226"/>
      <c r="G178" s="226"/>
      <c r="H178" s="226"/>
      <c r="I178" s="226"/>
      <c r="J178" s="226"/>
      <c r="K178" s="226"/>
    </row>
    <row r="179" spans="1:11" ht="20.25">
      <c r="A179" s="226"/>
      <c r="B179" s="226"/>
      <c r="C179" s="226"/>
      <c r="D179" s="226"/>
      <c r="E179" s="226"/>
      <c r="F179" s="226"/>
      <c r="G179" s="226"/>
      <c r="H179" s="226"/>
      <c r="I179" s="226"/>
      <c r="J179" s="226"/>
      <c r="K179" s="226"/>
    </row>
    <row r="180" spans="1:11" ht="20.25">
      <c r="A180" s="226"/>
      <c r="B180" s="226"/>
      <c r="C180" s="226"/>
      <c r="D180" s="226"/>
      <c r="E180" s="226"/>
      <c r="F180" s="226"/>
      <c r="G180" s="226"/>
      <c r="H180" s="226"/>
      <c r="I180" s="226"/>
      <c r="J180" s="226"/>
      <c r="K180" s="226"/>
    </row>
    <row r="181" spans="1:11" ht="20.25">
      <c r="A181" s="226"/>
      <c r="B181" s="226"/>
      <c r="C181" s="226"/>
      <c r="D181" s="226"/>
      <c r="E181" s="226"/>
      <c r="F181" s="226"/>
      <c r="G181" s="226"/>
      <c r="H181" s="226"/>
      <c r="I181" s="226"/>
      <c r="J181" s="226"/>
      <c r="K181" s="226"/>
    </row>
    <row r="182" spans="1:11" ht="20.25">
      <c r="A182" s="226"/>
      <c r="B182" s="226"/>
      <c r="C182" s="226"/>
      <c r="D182" s="226"/>
      <c r="E182" s="226"/>
      <c r="F182" s="226"/>
      <c r="G182" s="226"/>
      <c r="H182" s="226"/>
      <c r="I182" s="226"/>
      <c r="J182" s="226"/>
      <c r="K182" s="226"/>
    </row>
    <row r="183" spans="1:11" ht="20.25">
      <c r="A183" s="226"/>
      <c r="B183" s="226"/>
      <c r="C183" s="226"/>
      <c r="D183" s="226"/>
      <c r="E183" s="226"/>
      <c r="F183" s="226"/>
      <c r="G183" s="226"/>
      <c r="H183" s="226"/>
      <c r="I183" s="226"/>
      <c r="J183" s="226"/>
      <c r="K183" s="226"/>
    </row>
    <row r="184" spans="1:11" ht="20.25">
      <c r="A184" s="226"/>
      <c r="B184" s="226"/>
      <c r="C184" s="226"/>
      <c r="D184" s="226"/>
      <c r="E184" s="226"/>
      <c r="F184" s="226"/>
      <c r="G184" s="226"/>
      <c r="H184" s="226"/>
      <c r="I184" s="226"/>
      <c r="J184" s="226"/>
      <c r="K184" s="226"/>
    </row>
    <row r="185" spans="1:11" ht="20.25">
      <c r="A185" s="226"/>
      <c r="B185" s="226"/>
      <c r="C185" s="226"/>
      <c r="D185" s="226"/>
      <c r="E185" s="226"/>
      <c r="F185" s="226"/>
      <c r="G185" s="226"/>
      <c r="H185" s="226"/>
      <c r="I185" s="226"/>
      <c r="J185" s="226"/>
      <c r="K185" s="226"/>
    </row>
    <row r="186" spans="1:11" ht="20.25">
      <c r="A186" s="226"/>
      <c r="B186" s="226"/>
      <c r="C186" s="226"/>
      <c r="D186" s="226"/>
      <c r="E186" s="226"/>
      <c r="F186" s="226"/>
      <c r="G186" s="226"/>
      <c r="H186" s="226"/>
      <c r="I186" s="226"/>
      <c r="J186" s="226"/>
      <c r="K186" s="226"/>
    </row>
    <row r="187" spans="1:11" ht="20.25">
      <c r="A187" s="226"/>
      <c r="B187" s="226"/>
      <c r="C187" s="226"/>
      <c r="D187" s="226"/>
      <c r="E187" s="226"/>
      <c r="F187" s="226"/>
      <c r="G187" s="226"/>
      <c r="H187" s="226"/>
      <c r="I187" s="226"/>
      <c r="J187" s="226"/>
      <c r="K187" s="226"/>
    </row>
    <row r="188" spans="1:11" ht="20.25">
      <c r="A188" s="226"/>
      <c r="B188" s="226"/>
      <c r="C188" s="226"/>
      <c r="D188" s="226"/>
      <c r="E188" s="226"/>
      <c r="F188" s="226"/>
      <c r="G188" s="226"/>
      <c r="H188" s="226"/>
      <c r="I188" s="226"/>
      <c r="J188" s="226"/>
      <c r="K188" s="226"/>
    </row>
    <row r="189" spans="1:11" ht="20.25">
      <c r="A189" s="226"/>
      <c r="B189" s="226"/>
      <c r="C189" s="226"/>
      <c r="D189" s="226"/>
      <c r="E189" s="226"/>
      <c r="F189" s="226"/>
      <c r="G189" s="226"/>
      <c r="H189" s="226"/>
      <c r="I189" s="226"/>
      <c r="J189" s="226"/>
      <c r="K189" s="226"/>
    </row>
    <row r="190" spans="1:11" ht="20.25">
      <c r="A190" s="226"/>
      <c r="B190" s="226"/>
      <c r="C190" s="226"/>
      <c r="D190" s="226"/>
      <c r="E190" s="226"/>
      <c r="F190" s="226"/>
      <c r="G190" s="226"/>
      <c r="H190" s="226"/>
      <c r="I190" s="226"/>
      <c r="J190" s="226"/>
      <c r="K190" s="226"/>
    </row>
    <row r="191" spans="1:11" ht="20.25">
      <c r="A191" s="226"/>
      <c r="B191" s="226"/>
      <c r="C191" s="226"/>
      <c r="D191" s="226"/>
      <c r="E191" s="226"/>
      <c r="F191" s="226"/>
      <c r="G191" s="226"/>
      <c r="H191" s="226"/>
      <c r="I191" s="226"/>
      <c r="J191" s="226"/>
      <c r="K191" s="226"/>
    </row>
    <row r="192" spans="1:11" ht="20.25">
      <c r="A192" s="226"/>
      <c r="B192" s="226"/>
      <c r="C192" s="226"/>
      <c r="D192" s="226"/>
      <c r="E192" s="226"/>
      <c r="F192" s="226"/>
      <c r="G192" s="226"/>
      <c r="H192" s="226"/>
      <c r="I192" s="226"/>
      <c r="J192" s="226"/>
      <c r="K192" s="226"/>
    </row>
    <row r="193" spans="1:11" ht="20.25">
      <c r="A193" s="226"/>
      <c r="B193" s="226"/>
      <c r="C193" s="226"/>
      <c r="D193" s="226"/>
      <c r="E193" s="226"/>
      <c r="F193" s="226"/>
      <c r="G193" s="226"/>
      <c r="H193" s="226"/>
      <c r="I193" s="226"/>
      <c r="J193" s="226"/>
      <c r="K193" s="226"/>
    </row>
    <row r="194" spans="1:11" ht="20.25">
      <c r="A194" s="226"/>
      <c r="B194" s="226"/>
      <c r="C194" s="226"/>
      <c r="D194" s="226"/>
      <c r="E194" s="226"/>
      <c r="F194" s="226"/>
      <c r="G194" s="226"/>
      <c r="H194" s="226"/>
      <c r="I194" s="226"/>
      <c r="J194" s="226"/>
      <c r="K194" s="226"/>
    </row>
    <row r="195" spans="1:11" ht="20.25">
      <c r="A195" s="226"/>
      <c r="B195" s="226"/>
      <c r="C195" s="226"/>
      <c r="D195" s="226"/>
      <c r="E195" s="226"/>
      <c r="F195" s="226"/>
      <c r="G195" s="226"/>
      <c r="H195" s="226"/>
      <c r="I195" s="226"/>
      <c r="J195" s="226"/>
      <c r="K195" s="226"/>
    </row>
    <row r="196" spans="1:11" ht="20.25">
      <c r="A196" s="226"/>
      <c r="B196" s="226"/>
      <c r="C196" s="226"/>
      <c r="D196" s="226"/>
      <c r="E196" s="226"/>
      <c r="F196" s="226"/>
      <c r="G196" s="226"/>
      <c r="H196" s="226"/>
      <c r="I196" s="226"/>
      <c r="J196" s="226"/>
      <c r="K196" s="226"/>
    </row>
    <row r="197" spans="1:11" ht="20.25">
      <c r="A197" s="226"/>
      <c r="B197" s="226"/>
      <c r="C197" s="226"/>
      <c r="D197" s="226"/>
      <c r="E197" s="226"/>
      <c r="F197" s="226"/>
      <c r="G197" s="226"/>
      <c r="H197" s="226"/>
      <c r="I197" s="226"/>
      <c r="J197" s="226"/>
      <c r="K197" s="226"/>
    </row>
    <row r="198" spans="1:11" ht="20.25">
      <c r="A198" s="226"/>
      <c r="B198" s="226"/>
      <c r="C198" s="226"/>
      <c r="D198" s="226"/>
      <c r="E198" s="226"/>
      <c r="F198" s="226"/>
      <c r="G198" s="226"/>
      <c r="H198" s="226"/>
      <c r="I198" s="226"/>
      <c r="J198" s="226"/>
      <c r="K198" s="226"/>
    </row>
    <row r="199" spans="1:11" ht="20.25">
      <c r="A199" s="226"/>
      <c r="B199" s="226"/>
      <c r="C199" s="226"/>
      <c r="D199" s="226"/>
      <c r="E199" s="226"/>
      <c r="F199" s="226"/>
      <c r="G199" s="226"/>
      <c r="H199" s="226"/>
      <c r="I199" s="226"/>
      <c r="J199" s="226"/>
      <c r="K199" s="226"/>
    </row>
    <row r="200" spans="1:11" ht="20.25">
      <c r="A200" s="226"/>
      <c r="B200" s="226"/>
      <c r="C200" s="226"/>
      <c r="D200" s="226"/>
      <c r="E200" s="226"/>
      <c r="F200" s="226"/>
      <c r="G200" s="226"/>
      <c r="H200" s="226"/>
      <c r="I200" s="226"/>
      <c r="J200" s="226"/>
      <c r="K200" s="226"/>
    </row>
    <row r="201" spans="1:11" ht="20.25">
      <c r="A201" s="226"/>
      <c r="B201" s="226"/>
      <c r="C201" s="226"/>
      <c r="D201" s="226"/>
      <c r="E201" s="226"/>
      <c r="F201" s="226"/>
      <c r="G201" s="226"/>
      <c r="H201" s="226"/>
      <c r="I201" s="226"/>
      <c r="J201" s="226"/>
      <c r="K201" s="226"/>
    </row>
    <row r="202" spans="1:11" ht="20.25">
      <c r="A202" s="226"/>
      <c r="B202" s="226"/>
      <c r="C202" s="226"/>
      <c r="D202" s="226"/>
      <c r="E202" s="226"/>
      <c r="F202" s="226"/>
      <c r="G202" s="226"/>
      <c r="H202" s="226"/>
      <c r="I202" s="226"/>
      <c r="J202" s="226"/>
      <c r="K202" s="226"/>
    </row>
    <row r="203" spans="1:11" ht="20.25">
      <c r="A203" s="226"/>
      <c r="B203" s="226"/>
      <c r="C203" s="226"/>
      <c r="D203" s="226"/>
      <c r="E203" s="226"/>
      <c r="F203" s="226"/>
      <c r="G203" s="226"/>
      <c r="H203" s="226"/>
      <c r="I203" s="226"/>
      <c r="J203" s="226"/>
      <c r="K203" s="226"/>
    </row>
    <row r="204" spans="1:11" ht="20.25">
      <c r="A204" s="226"/>
      <c r="B204" s="226"/>
      <c r="C204" s="226"/>
      <c r="D204" s="226"/>
      <c r="E204" s="226"/>
      <c r="F204" s="226"/>
      <c r="G204" s="226"/>
      <c r="H204" s="226"/>
      <c r="I204" s="226"/>
      <c r="J204" s="226"/>
      <c r="K204" s="226"/>
    </row>
    <row r="205" spans="1:11" ht="20.25">
      <c r="A205" s="226"/>
      <c r="B205" s="226"/>
      <c r="C205" s="226"/>
      <c r="D205" s="226"/>
      <c r="E205" s="226"/>
      <c r="F205" s="226"/>
      <c r="G205" s="226"/>
      <c r="H205" s="226"/>
      <c r="I205" s="226"/>
      <c r="J205" s="226"/>
      <c r="K205" s="226"/>
    </row>
    <row r="206" spans="1:11" ht="20.25">
      <c r="A206" s="226"/>
      <c r="B206" s="226"/>
      <c r="C206" s="226"/>
      <c r="D206" s="226"/>
      <c r="E206" s="226"/>
      <c r="F206" s="226"/>
      <c r="G206" s="226"/>
      <c r="H206" s="226"/>
      <c r="I206" s="226"/>
      <c r="J206" s="226"/>
      <c r="K206" s="226"/>
    </row>
    <row r="207" spans="1:11" ht="20.25">
      <c r="A207" s="226"/>
      <c r="B207" s="226"/>
      <c r="C207" s="226"/>
      <c r="D207" s="226"/>
      <c r="E207" s="226"/>
      <c r="F207" s="226"/>
      <c r="G207" s="226"/>
      <c r="H207" s="226"/>
      <c r="I207" s="226"/>
      <c r="J207" s="226"/>
      <c r="K207" s="226"/>
    </row>
    <row r="208" spans="1:11" ht="20.25">
      <c r="A208" s="226"/>
      <c r="B208" s="226"/>
      <c r="C208" s="226"/>
      <c r="D208" s="226"/>
      <c r="E208" s="226"/>
      <c r="F208" s="226"/>
      <c r="G208" s="226"/>
      <c r="H208" s="226"/>
      <c r="I208" s="226"/>
      <c r="J208" s="226"/>
      <c r="K208" s="226"/>
    </row>
    <row r="209" spans="1:11" ht="20.25">
      <c r="A209" s="226"/>
      <c r="B209" s="226"/>
      <c r="C209" s="226"/>
      <c r="D209" s="226"/>
      <c r="E209" s="226"/>
      <c r="F209" s="226"/>
      <c r="G209" s="226"/>
      <c r="H209" s="226"/>
      <c r="I209" s="226"/>
      <c r="J209" s="226"/>
      <c r="K209" s="226"/>
    </row>
    <row r="210" spans="1:11" ht="20.25">
      <c r="A210" s="226"/>
      <c r="B210" s="226"/>
      <c r="C210" s="226"/>
      <c r="D210" s="226"/>
      <c r="E210" s="226"/>
      <c r="F210" s="226"/>
      <c r="G210" s="226"/>
      <c r="H210" s="226"/>
      <c r="I210" s="226"/>
      <c r="J210" s="226"/>
      <c r="K210" s="226"/>
    </row>
    <row r="211" spans="1:11" ht="20.25">
      <c r="A211" s="226"/>
      <c r="B211" s="226"/>
      <c r="C211" s="226"/>
      <c r="D211" s="226"/>
      <c r="E211" s="226"/>
      <c r="F211" s="226"/>
      <c r="G211" s="226"/>
      <c r="H211" s="226"/>
      <c r="I211" s="226"/>
      <c r="J211" s="226"/>
      <c r="K211" s="226"/>
    </row>
    <row r="212" spans="1:11" ht="20.25">
      <c r="A212" s="226"/>
      <c r="B212" s="226"/>
      <c r="C212" s="226"/>
      <c r="D212" s="226"/>
      <c r="E212" s="226"/>
      <c r="F212" s="226"/>
      <c r="G212" s="226"/>
      <c r="H212" s="226"/>
      <c r="I212" s="226"/>
      <c r="J212" s="226"/>
      <c r="K212" s="226"/>
    </row>
    <row r="213" spans="1:11" ht="20.25">
      <c r="A213" s="226"/>
      <c r="B213" s="226"/>
      <c r="C213" s="226"/>
      <c r="D213" s="226"/>
      <c r="E213" s="226"/>
      <c r="F213" s="226"/>
      <c r="G213" s="226"/>
      <c r="H213" s="226"/>
      <c r="I213" s="226"/>
      <c r="J213" s="226"/>
      <c r="K213" s="226"/>
    </row>
    <row r="214" spans="1:11" ht="20.25">
      <c r="A214" s="226"/>
      <c r="B214" s="226"/>
      <c r="C214" s="226"/>
      <c r="D214" s="226"/>
      <c r="E214" s="226"/>
      <c r="F214" s="226"/>
      <c r="G214" s="226"/>
      <c r="H214" s="226"/>
      <c r="I214" s="226"/>
      <c r="J214" s="226"/>
      <c r="K214" s="226"/>
    </row>
    <row r="215" spans="1:11" ht="20.25">
      <c r="A215" s="226"/>
      <c r="B215" s="226"/>
      <c r="C215" s="226"/>
      <c r="D215" s="226"/>
      <c r="E215" s="226"/>
      <c r="F215" s="226"/>
      <c r="G215" s="226"/>
      <c r="H215" s="226"/>
      <c r="I215" s="226"/>
      <c r="J215" s="226"/>
      <c r="K215" s="226"/>
    </row>
    <row r="216" spans="1:11" ht="20.25">
      <c r="A216" s="226"/>
      <c r="B216" s="226"/>
      <c r="C216" s="226"/>
      <c r="D216" s="226"/>
      <c r="E216" s="226"/>
      <c r="F216" s="226"/>
      <c r="G216" s="226"/>
      <c r="H216" s="226"/>
      <c r="I216" s="226"/>
      <c r="J216" s="226"/>
      <c r="K216" s="226"/>
    </row>
    <row r="217" spans="1:11" ht="20.25">
      <c r="A217" s="226"/>
      <c r="B217" s="226"/>
      <c r="C217" s="226"/>
      <c r="D217" s="226"/>
      <c r="E217" s="226"/>
      <c r="F217" s="226"/>
      <c r="G217" s="226"/>
      <c r="H217" s="226"/>
      <c r="I217" s="226"/>
      <c r="J217" s="226"/>
      <c r="K217" s="226"/>
    </row>
    <row r="218" spans="1:11" ht="20.25">
      <c r="A218" s="226"/>
      <c r="B218" s="226"/>
      <c r="C218" s="226"/>
      <c r="D218" s="226"/>
      <c r="E218" s="226"/>
      <c r="F218" s="226"/>
      <c r="G218" s="226"/>
      <c r="H218" s="226"/>
      <c r="I218" s="226"/>
      <c r="J218" s="226"/>
      <c r="K218" s="226"/>
    </row>
    <row r="219" spans="1:11" ht="20.25">
      <c r="A219" s="226"/>
      <c r="B219" s="226"/>
      <c r="C219" s="226"/>
      <c r="D219" s="226"/>
      <c r="E219" s="226"/>
      <c r="F219" s="226"/>
      <c r="G219" s="226"/>
      <c r="H219" s="226"/>
      <c r="I219" s="226"/>
      <c r="J219" s="226"/>
      <c r="K219" s="226"/>
    </row>
    <row r="220" spans="1:11" ht="20.25">
      <c r="A220" s="226"/>
      <c r="B220" s="226"/>
      <c r="C220" s="226"/>
      <c r="D220" s="226"/>
      <c r="E220" s="226"/>
      <c r="F220" s="226"/>
      <c r="G220" s="226"/>
      <c r="H220" s="226"/>
      <c r="I220" s="226"/>
      <c r="J220" s="226"/>
      <c r="K220" s="226"/>
    </row>
    <row r="221" spans="1:11" ht="20.25">
      <c r="A221" s="226"/>
      <c r="B221" s="226"/>
      <c r="C221" s="226"/>
      <c r="D221" s="226"/>
      <c r="E221" s="226"/>
      <c r="F221" s="226"/>
      <c r="G221" s="226"/>
      <c r="H221" s="226"/>
      <c r="I221" s="226"/>
      <c r="J221" s="226"/>
      <c r="K221" s="226"/>
    </row>
    <row r="222" spans="1:11" ht="20.25">
      <c r="A222" s="226"/>
      <c r="B222" s="226"/>
      <c r="C222" s="226"/>
      <c r="D222" s="226"/>
      <c r="E222" s="226"/>
      <c r="F222" s="226"/>
      <c r="G222" s="226"/>
      <c r="H222" s="226"/>
      <c r="I222" s="226"/>
      <c r="J222" s="226"/>
      <c r="K222" s="226"/>
    </row>
    <row r="223" spans="1:11" ht="20.25">
      <c r="A223" s="226"/>
      <c r="B223" s="226"/>
      <c r="C223" s="226"/>
      <c r="D223" s="226"/>
      <c r="E223" s="226"/>
      <c r="F223" s="226"/>
      <c r="G223" s="226"/>
      <c r="H223" s="226"/>
      <c r="I223" s="226"/>
      <c r="J223" s="226"/>
      <c r="K223" s="226"/>
    </row>
    <row r="224" spans="1:11" ht="20.25">
      <c r="A224" s="226"/>
      <c r="B224" s="226"/>
      <c r="C224" s="226"/>
      <c r="D224" s="226"/>
      <c r="E224" s="226"/>
      <c r="F224" s="226"/>
      <c r="G224" s="226"/>
      <c r="H224" s="226"/>
      <c r="I224" s="226"/>
      <c r="J224" s="226"/>
      <c r="K224" s="226"/>
    </row>
    <row r="225" spans="1:11" ht="20.25">
      <c r="A225" s="226"/>
      <c r="B225" s="226"/>
      <c r="C225" s="226"/>
      <c r="D225" s="226"/>
      <c r="E225" s="226"/>
      <c r="F225" s="226"/>
      <c r="G225" s="226"/>
      <c r="H225" s="226"/>
      <c r="I225" s="226"/>
      <c r="J225" s="226"/>
      <c r="K225" s="226"/>
    </row>
    <row r="226" spans="1:11" ht="20.25">
      <c r="A226" s="226"/>
      <c r="B226" s="226"/>
      <c r="C226" s="226"/>
      <c r="D226" s="226"/>
      <c r="E226" s="226"/>
      <c r="F226" s="226"/>
      <c r="G226" s="226"/>
      <c r="H226" s="226"/>
      <c r="I226" s="226"/>
      <c r="J226" s="226"/>
      <c r="K226" s="226"/>
    </row>
    <row r="227" spans="1:11" ht="20.25">
      <c r="A227" s="226"/>
      <c r="B227" s="226"/>
      <c r="C227" s="226"/>
      <c r="D227" s="226"/>
      <c r="E227" s="226"/>
      <c r="F227" s="226"/>
      <c r="G227" s="226"/>
      <c r="H227" s="226"/>
      <c r="I227" s="226"/>
      <c r="J227" s="226"/>
      <c r="K227" s="226"/>
    </row>
    <row r="228" spans="1:11" ht="20.25">
      <c r="A228" s="226"/>
      <c r="B228" s="226"/>
      <c r="C228" s="226"/>
      <c r="D228" s="226"/>
      <c r="E228" s="226"/>
      <c r="F228" s="226"/>
      <c r="G228" s="226"/>
      <c r="H228" s="226"/>
      <c r="I228" s="226"/>
      <c r="J228" s="226"/>
      <c r="K228" s="226"/>
    </row>
    <row r="229" spans="1:11" ht="20.25">
      <c r="A229" s="226"/>
      <c r="B229" s="226"/>
      <c r="C229" s="226"/>
      <c r="D229" s="226"/>
      <c r="E229" s="226"/>
      <c r="F229" s="226"/>
      <c r="G229" s="226"/>
      <c r="H229" s="226"/>
      <c r="I229" s="226"/>
      <c r="J229" s="226"/>
      <c r="K229" s="226"/>
    </row>
    <row r="230" spans="1:11" ht="20.25">
      <c r="A230" s="226"/>
      <c r="B230" s="226"/>
      <c r="C230" s="226"/>
      <c r="D230" s="226"/>
      <c r="E230" s="226"/>
      <c r="F230" s="226"/>
      <c r="G230" s="226"/>
      <c r="H230" s="226"/>
      <c r="I230" s="226"/>
      <c r="J230" s="226"/>
      <c r="K230" s="226"/>
    </row>
    <row r="231" spans="1:11" ht="20.25">
      <c r="A231" s="226"/>
      <c r="B231" s="226"/>
      <c r="C231" s="226"/>
      <c r="D231" s="226"/>
      <c r="E231" s="226"/>
      <c r="F231" s="226"/>
      <c r="G231" s="226"/>
      <c r="H231" s="226"/>
      <c r="I231" s="226"/>
      <c r="J231" s="226"/>
      <c r="K231" s="226"/>
    </row>
    <row r="232" spans="1:11" ht="20.25">
      <c r="A232" s="226"/>
      <c r="B232" s="226"/>
      <c r="C232" s="226"/>
      <c r="D232" s="226"/>
      <c r="E232" s="226"/>
      <c r="F232" s="226"/>
      <c r="G232" s="226"/>
      <c r="H232" s="226"/>
      <c r="I232" s="226"/>
      <c r="J232" s="226"/>
      <c r="K232" s="226"/>
    </row>
    <row r="233" spans="1:11" ht="20.25">
      <c r="A233" s="226"/>
      <c r="B233" s="226"/>
      <c r="C233" s="226"/>
      <c r="D233" s="226"/>
      <c r="E233" s="226"/>
      <c r="F233" s="226"/>
      <c r="G233" s="226"/>
      <c r="H233" s="226"/>
      <c r="I233" s="226"/>
      <c r="J233" s="226"/>
      <c r="K233" s="226"/>
    </row>
    <row r="234" spans="1:11" ht="20.25">
      <c r="A234" s="226"/>
      <c r="B234" s="226"/>
      <c r="C234" s="226"/>
      <c r="D234" s="226"/>
      <c r="E234" s="226"/>
      <c r="F234" s="226"/>
      <c r="G234" s="226"/>
      <c r="H234" s="226"/>
      <c r="I234" s="226"/>
      <c r="J234" s="226"/>
      <c r="K234" s="226"/>
    </row>
    <row r="235" spans="1:11" ht="20.25">
      <c r="A235" s="226"/>
      <c r="B235" s="226"/>
      <c r="C235" s="226"/>
      <c r="D235" s="226"/>
      <c r="E235" s="226"/>
      <c r="F235" s="226"/>
      <c r="G235" s="226"/>
      <c r="H235" s="226"/>
      <c r="I235" s="226"/>
      <c r="J235" s="226"/>
      <c r="K235" s="226"/>
    </row>
    <row r="236" spans="1:11" ht="20.25">
      <c r="A236" s="226"/>
      <c r="B236" s="226"/>
      <c r="C236" s="226"/>
      <c r="D236" s="226"/>
      <c r="E236" s="226"/>
      <c r="F236" s="226"/>
      <c r="G236" s="226"/>
      <c r="H236" s="226"/>
      <c r="I236" s="226"/>
      <c r="J236" s="226"/>
      <c r="K236" s="226"/>
    </row>
    <row r="237" spans="1:11" ht="20.25">
      <c r="A237" s="226"/>
      <c r="B237" s="226"/>
      <c r="C237" s="226"/>
      <c r="D237" s="226"/>
      <c r="E237" s="226"/>
      <c r="F237" s="226"/>
      <c r="G237" s="226"/>
      <c r="H237" s="226"/>
      <c r="I237" s="226"/>
      <c r="J237" s="226"/>
      <c r="K237" s="226"/>
    </row>
    <row r="238" spans="1:11" ht="20.25">
      <c r="A238" s="226"/>
      <c r="B238" s="226"/>
      <c r="C238" s="226"/>
      <c r="D238" s="226"/>
      <c r="E238" s="226"/>
      <c r="F238" s="226"/>
      <c r="G238" s="226"/>
      <c r="H238" s="226"/>
      <c r="I238" s="226"/>
      <c r="J238" s="226"/>
      <c r="K238" s="226"/>
    </row>
    <row r="239" spans="1:11" ht="20.25">
      <c r="A239" s="226"/>
      <c r="B239" s="226"/>
      <c r="C239" s="226"/>
      <c r="D239" s="226"/>
      <c r="E239" s="226"/>
      <c r="F239" s="226"/>
      <c r="G239" s="226"/>
      <c r="H239" s="226"/>
      <c r="I239" s="226"/>
      <c r="J239" s="226"/>
      <c r="K239" s="226"/>
    </row>
    <row r="240" spans="1:11" ht="20.25">
      <c r="A240" s="226"/>
      <c r="B240" s="226"/>
      <c r="C240" s="226"/>
      <c r="D240" s="226"/>
      <c r="E240" s="226"/>
      <c r="F240" s="226"/>
      <c r="G240" s="226"/>
      <c r="H240" s="226"/>
      <c r="I240" s="226"/>
      <c r="J240" s="226"/>
      <c r="K240" s="226"/>
    </row>
    <row r="241" spans="1:11" ht="20.25">
      <c r="A241" s="226"/>
      <c r="B241" s="226"/>
      <c r="C241" s="226"/>
      <c r="D241" s="226"/>
      <c r="E241" s="226"/>
      <c r="F241" s="226"/>
      <c r="G241" s="226"/>
      <c r="H241" s="226"/>
      <c r="I241" s="226"/>
      <c r="J241" s="226"/>
      <c r="K241" s="226"/>
    </row>
    <row r="242" spans="1:11" ht="20.25">
      <c r="A242" s="226"/>
      <c r="B242" s="226"/>
      <c r="C242" s="226"/>
      <c r="D242" s="226"/>
      <c r="E242" s="226"/>
      <c r="F242" s="226"/>
      <c r="G242" s="226"/>
      <c r="H242" s="226"/>
      <c r="I242" s="226"/>
      <c r="J242" s="226"/>
      <c r="K242" s="226"/>
    </row>
    <row r="243" spans="1:11" ht="20.25">
      <c r="A243" s="226"/>
      <c r="B243" s="226"/>
      <c r="C243" s="226"/>
      <c r="D243" s="226"/>
      <c r="E243" s="226"/>
      <c r="F243" s="226"/>
      <c r="G243" s="226"/>
      <c r="H243" s="226"/>
      <c r="I243" s="226"/>
      <c r="J243" s="226"/>
      <c r="K243" s="226"/>
    </row>
    <row r="244" spans="1:11" ht="20.25">
      <c r="A244" s="226"/>
      <c r="B244" s="226"/>
      <c r="C244" s="226"/>
      <c r="D244" s="226"/>
      <c r="E244" s="226"/>
      <c r="F244" s="226"/>
      <c r="G244" s="226"/>
      <c r="H244" s="226"/>
      <c r="I244" s="226"/>
      <c r="J244" s="226"/>
      <c r="K244" s="226"/>
    </row>
    <row r="245" spans="1:11" ht="20.25">
      <c r="A245" s="226"/>
      <c r="B245" s="226"/>
      <c r="C245" s="226"/>
      <c r="D245" s="226"/>
      <c r="E245" s="226"/>
      <c r="F245" s="226"/>
      <c r="G245" s="226"/>
      <c r="H245" s="226"/>
      <c r="I245" s="226"/>
      <c r="J245" s="226"/>
      <c r="K245" s="226"/>
    </row>
    <row r="246" spans="1:11" ht="20.25">
      <c r="A246" s="226"/>
      <c r="B246" s="226"/>
      <c r="C246" s="226"/>
      <c r="D246" s="226"/>
      <c r="E246" s="226"/>
      <c r="F246" s="226"/>
      <c r="G246" s="226"/>
      <c r="H246" s="226"/>
      <c r="I246" s="226"/>
      <c r="J246" s="226"/>
      <c r="K246" s="226"/>
    </row>
    <row r="247" spans="1:11" ht="20.25">
      <c r="A247" s="226"/>
      <c r="B247" s="226"/>
      <c r="C247" s="226"/>
      <c r="D247" s="226"/>
      <c r="E247" s="226"/>
      <c r="F247" s="226"/>
      <c r="G247" s="226"/>
      <c r="H247" s="226"/>
      <c r="I247" s="226"/>
      <c r="J247" s="226"/>
      <c r="K247" s="226"/>
    </row>
    <row r="248" spans="1:11" ht="20.25">
      <c r="A248" s="226"/>
      <c r="B248" s="226"/>
      <c r="C248" s="226"/>
      <c r="D248" s="226"/>
      <c r="E248" s="226"/>
      <c r="F248" s="226"/>
      <c r="G248" s="226"/>
      <c r="H248" s="226"/>
      <c r="I248" s="226"/>
      <c r="J248" s="226"/>
      <c r="K248" s="226"/>
    </row>
    <row r="249" spans="1:11" ht="20.25">
      <c r="A249" s="226"/>
      <c r="B249" s="226"/>
      <c r="C249" s="226"/>
      <c r="D249" s="226"/>
      <c r="E249" s="226"/>
      <c r="F249" s="226"/>
      <c r="G249" s="226"/>
      <c r="H249" s="226"/>
      <c r="I249" s="226"/>
      <c r="J249" s="226"/>
      <c r="K249" s="226"/>
    </row>
    <row r="250" spans="1:11" ht="20.25">
      <c r="A250" s="226"/>
      <c r="B250" s="226"/>
      <c r="C250" s="226"/>
      <c r="D250" s="226"/>
      <c r="E250" s="226"/>
      <c r="F250" s="226"/>
      <c r="G250" s="226"/>
      <c r="H250" s="226"/>
      <c r="I250" s="226"/>
      <c r="J250" s="226"/>
      <c r="K250" s="226"/>
    </row>
    <row r="251" spans="1:11" ht="20.25">
      <c r="A251" s="226"/>
      <c r="B251" s="226"/>
      <c r="C251" s="226"/>
      <c r="D251" s="226"/>
      <c r="E251" s="226"/>
      <c r="F251" s="226"/>
      <c r="G251" s="226"/>
      <c r="H251" s="226"/>
      <c r="I251" s="226"/>
      <c r="J251" s="226"/>
      <c r="K251" s="226"/>
    </row>
    <row r="252" spans="1:11" ht="20.25">
      <c r="A252" s="226"/>
      <c r="B252" s="226"/>
      <c r="C252" s="226"/>
      <c r="D252" s="226"/>
      <c r="E252" s="226"/>
      <c r="F252" s="226"/>
      <c r="G252" s="226"/>
      <c r="H252" s="226"/>
      <c r="I252" s="226"/>
      <c r="J252" s="226"/>
      <c r="K252" s="226"/>
    </row>
    <row r="253" spans="1:11" ht="20.25">
      <c r="A253" s="226"/>
      <c r="B253" s="226"/>
      <c r="C253" s="226"/>
      <c r="D253" s="226"/>
      <c r="E253" s="226"/>
      <c r="F253" s="226"/>
      <c r="G253" s="226"/>
      <c r="H253" s="226"/>
      <c r="I253" s="226"/>
      <c r="J253" s="226"/>
      <c r="K253" s="226"/>
    </row>
    <row r="254" spans="1:11" ht="20.25">
      <c r="A254" s="226"/>
      <c r="B254" s="226"/>
      <c r="C254" s="226"/>
      <c r="D254" s="226"/>
      <c r="E254" s="226"/>
      <c r="F254" s="226"/>
      <c r="G254" s="226"/>
      <c r="H254" s="226"/>
      <c r="I254" s="226"/>
      <c r="J254" s="226"/>
      <c r="K254" s="226"/>
    </row>
    <row r="255" spans="1:11" ht="20.25">
      <c r="A255" s="226"/>
      <c r="B255" s="226"/>
      <c r="C255" s="226"/>
      <c r="D255" s="226"/>
      <c r="E255" s="226"/>
      <c r="F255" s="226"/>
      <c r="G255" s="226"/>
      <c r="H255" s="226"/>
      <c r="I255" s="226"/>
      <c r="J255" s="226"/>
      <c r="K255" s="226"/>
    </row>
    <row r="256" spans="1:11" ht="20.25">
      <c r="A256" s="226"/>
      <c r="B256" s="226"/>
      <c r="C256" s="226"/>
      <c r="D256" s="226"/>
      <c r="E256" s="226"/>
      <c r="F256" s="226"/>
      <c r="G256" s="226"/>
      <c r="H256" s="226"/>
      <c r="I256" s="226"/>
      <c r="J256" s="226"/>
      <c r="K256" s="226"/>
    </row>
    <row r="257" spans="1:11" ht="20.25">
      <c r="A257" s="226"/>
      <c r="B257" s="226"/>
      <c r="C257" s="226"/>
      <c r="D257" s="226"/>
      <c r="E257" s="226"/>
      <c r="F257" s="226"/>
      <c r="G257" s="226"/>
      <c r="H257" s="226"/>
      <c r="I257" s="226"/>
      <c r="J257" s="226"/>
      <c r="K257" s="226"/>
    </row>
    <row r="258" spans="1:11" ht="20.25">
      <c r="A258" s="226"/>
      <c r="B258" s="226"/>
      <c r="C258" s="226"/>
      <c r="D258" s="226"/>
      <c r="E258" s="226"/>
      <c r="F258" s="226"/>
      <c r="G258" s="226"/>
      <c r="H258" s="226"/>
      <c r="I258" s="226"/>
      <c r="J258" s="226"/>
      <c r="K258" s="226"/>
    </row>
    <row r="259" spans="1:11" ht="20.25">
      <c r="A259" s="226"/>
      <c r="B259" s="226"/>
      <c r="C259" s="226"/>
      <c r="D259" s="226"/>
      <c r="E259" s="226"/>
      <c r="F259" s="226"/>
      <c r="G259" s="226"/>
      <c r="H259" s="226"/>
      <c r="I259" s="226"/>
      <c r="J259" s="226"/>
      <c r="K259" s="226"/>
    </row>
    <row r="260" spans="1:11" ht="20.25">
      <c r="A260" s="226"/>
      <c r="B260" s="226"/>
      <c r="C260" s="226"/>
      <c r="D260" s="226"/>
      <c r="E260" s="226"/>
      <c r="F260" s="226"/>
      <c r="G260" s="226"/>
      <c r="H260" s="226"/>
      <c r="I260" s="226"/>
      <c r="J260" s="226"/>
      <c r="K260" s="226"/>
    </row>
    <row r="261" spans="1:11" ht="20.25">
      <c r="A261" s="226"/>
      <c r="B261" s="226"/>
      <c r="C261" s="226"/>
      <c r="D261" s="226"/>
      <c r="E261" s="226"/>
      <c r="F261" s="226"/>
      <c r="G261" s="226"/>
      <c r="H261" s="226"/>
      <c r="I261" s="226"/>
      <c r="J261" s="226"/>
      <c r="K261" s="226"/>
    </row>
    <row r="262" spans="1:11" ht="20.25">
      <c r="A262" s="226"/>
      <c r="B262" s="226"/>
      <c r="C262" s="226"/>
      <c r="D262" s="226"/>
      <c r="E262" s="226"/>
      <c r="F262" s="226"/>
      <c r="G262" s="226"/>
      <c r="H262" s="226"/>
      <c r="I262" s="226"/>
      <c r="J262" s="226"/>
      <c r="K262" s="226"/>
    </row>
    <row r="263" spans="1:11" ht="20.25">
      <c r="A263" s="226"/>
      <c r="B263" s="226"/>
      <c r="C263" s="226"/>
      <c r="D263" s="226"/>
      <c r="E263" s="226"/>
      <c r="F263" s="226"/>
      <c r="G263" s="226"/>
      <c r="H263" s="226"/>
      <c r="I263" s="226"/>
      <c r="J263" s="226"/>
      <c r="K263" s="226"/>
    </row>
    <row r="264" spans="1:11" ht="20.25">
      <c r="A264" s="226"/>
      <c r="B264" s="226"/>
      <c r="C264" s="226"/>
      <c r="D264" s="226"/>
      <c r="E264" s="226"/>
      <c r="F264" s="226"/>
      <c r="G264" s="226"/>
      <c r="H264" s="226"/>
      <c r="I264" s="226"/>
      <c r="J264" s="226"/>
      <c r="K264" s="226"/>
    </row>
    <row r="265" spans="1:11" ht="20.25">
      <c r="A265" s="226"/>
      <c r="B265" s="226"/>
      <c r="C265" s="226"/>
      <c r="D265" s="226"/>
      <c r="E265" s="226"/>
      <c r="F265" s="226"/>
      <c r="G265" s="226"/>
      <c r="H265" s="226"/>
      <c r="I265" s="226"/>
      <c r="J265" s="226"/>
      <c r="K265" s="226"/>
    </row>
    <row r="266" spans="1:11" ht="20.25">
      <c r="A266" s="226"/>
      <c r="B266" s="226"/>
      <c r="C266" s="226"/>
      <c r="D266" s="226"/>
      <c r="E266" s="226"/>
      <c r="F266" s="226"/>
      <c r="G266" s="226"/>
      <c r="H266" s="226"/>
      <c r="I266" s="226"/>
      <c r="J266" s="226"/>
      <c r="K266" s="226"/>
    </row>
    <row r="267" spans="1:11" ht="20.25">
      <c r="A267" s="226"/>
      <c r="B267" s="226"/>
      <c r="C267" s="226"/>
      <c r="D267" s="226"/>
      <c r="E267" s="226"/>
      <c r="F267" s="226"/>
      <c r="G267" s="226"/>
      <c r="H267" s="226"/>
      <c r="I267" s="226"/>
      <c r="J267" s="226"/>
      <c r="K267" s="226"/>
    </row>
    <row r="268" spans="1:11" ht="20.25">
      <c r="A268" s="226"/>
      <c r="B268" s="226"/>
      <c r="C268" s="226"/>
      <c r="D268" s="226"/>
      <c r="E268" s="226"/>
      <c r="F268" s="226"/>
      <c r="G268" s="226"/>
      <c r="H268" s="226"/>
      <c r="I268" s="226"/>
      <c r="J268" s="226"/>
      <c r="K268" s="226"/>
    </row>
    <row r="269" spans="1:11" ht="20.25">
      <c r="A269" s="226"/>
      <c r="B269" s="226"/>
      <c r="C269" s="226"/>
      <c r="D269" s="226"/>
      <c r="E269" s="226"/>
      <c r="F269" s="226"/>
      <c r="G269" s="226"/>
      <c r="H269" s="226"/>
      <c r="I269" s="226"/>
      <c r="J269" s="226"/>
      <c r="K269" s="226"/>
    </row>
    <row r="270" spans="1:11" ht="20.25">
      <c r="A270" s="226"/>
      <c r="B270" s="226"/>
      <c r="C270" s="226"/>
      <c r="D270" s="226"/>
      <c r="E270" s="226"/>
      <c r="F270" s="226"/>
      <c r="G270" s="226"/>
      <c r="H270" s="226"/>
      <c r="I270" s="226"/>
      <c r="J270" s="226"/>
      <c r="K270" s="226"/>
    </row>
    <row r="271" spans="1:11" ht="20.25">
      <c r="A271" s="226"/>
      <c r="B271" s="226"/>
      <c r="C271" s="226"/>
      <c r="D271" s="226"/>
      <c r="E271" s="226"/>
      <c r="F271" s="226"/>
      <c r="G271" s="226"/>
      <c r="H271" s="226"/>
      <c r="I271" s="226"/>
      <c r="J271" s="226"/>
      <c r="K271" s="226"/>
    </row>
    <row r="272" spans="1:11" ht="20.25">
      <c r="A272" s="226"/>
      <c r="B272" s="226"/>
      <c r="C272" s="226"/>
      <c r="D272" s="226"/>
      <c r="E272" s="226"/>
      <c r="F272" s="226"/>
      <c r="G272" s="226"/>
      <c r="H272" s="226"/>
      <c r="I272" s="226"/>
      <c r="J272" s="226"/>
      <c r="K272" s="226"/>
    </row>
    <row r="273" spans="1:11" ht="20.25">
      <c r="A273" s="226"/>
      <c r="B273" s="226"/>
      <c r="C273" s="226"/>
      <c r="D273" s="226"/>
      <c r="E273" s="226"/>
      <c r="F273" s="226"/>
      <c r="G273" s="226"/>
      <c r="H273" s="226"/>
      <c r="I273" s="226"/>
      <c r="J273" s="226"/>
      <c r="K273" s="226"/>
    </row>
    <row r="274" spans="1:11" ht="20.25">
      <c r="A274" s="226"/>
      <c r="B274" s="226"/>
      <c r="C274" s="226"/>
      <c r="D274" s="226"/>
      <c r="E274" s="226"/>
      <c r="F274" s="226"/>
      <c r="G274" s="226"/>
      <c r="H274" s="226"/>
      <c r="I274" s="226"/>
      <c r="J274" s="226"/>
      <c r="K274" s="226"/>
    </row>
    <row r="275" spans="1:11" ht="20.25">
      <c r="A275" s="226"/>
      <c r="B275" s="226"/>
      <c r="C275" s="226"/>
      <c r="D275" s="226"/>
      <c r="E275" s="226"/>
      <c r="F275" s="226"/>
      <c r="G275" s="226"/>
      <c r="H275" s="226"/>
      <c r="I275" s="226"/>
      <c r="J275" s="226"/>
      <c r="K275" s="226"/>
    </row>
    <row r="276" spans="1:11" ht="20.25">
      <c r="A276" s="226"/>
      <c r="B276" s="226"/>
      <c r="C276" s="226"/>
      <c r="D276" s="226"/>
      <c r="E276" s="226"/>
      <c r="F276" s="226"/>
      <c r="G276" s="226"/>
      <c r="H276" s="226"/>
      <c r="I276" s="226"/>
      <c r="J276" s="226"/>
      <c r="K276" s="226"/>
    </row>
    <row r="277" spans="1:11" ht="20.25">
      <c r="A277" s="226"/>
      <c r="B277" s="226"/>
      <c r="C277" s="226"/>
      <c r="D277" s="226"/>
      <c r="E277" s="226"/>
      <c r="F277" s="226"/>
      <c r="G277" s="226"/>
      <c r="H277" s="226"/>
      <c r="I277" s="226"/>
      <c r="J277" s="226"/>
      <c r="K277" s="226"/>
    </row>
    <row r="278" spans="1:11" ht="20.25">
      <c r="A278" s="226"/>
      <c r="B278" s="226"/>
      <c r="C278" s="226"/>
      <c r="D278" s="226"/>
      <c r="E278" s="226"/>
      <c r="F278" s="226"/>
      <c r="G278" s="226"/>
      <c r="H278" s="226"/>
      <c r="I278" s="226"/>
      <c r="J278" s="226"/>
      <c r="K278" s="226"/>
    </row>
    <row r="279" spans="1:11" ht="20.25">
      <c r="A279" s="226"/>
      <c r="B279" s="226"/>
      <c r="C279" s="226"/>
      <c r="D279" s="226"/>
      <c r="E279" s="226"/>
      <c r="F279" s="226"/>
      <c r="G279" s="226"/>
      <c r="H279" s="226"/>
      <c r="I279" s="226"/>
      <c r="J279" s="226"/>
      <c r="K279" s="226"/>
    </row>
    <row r="280" spans="1:11" ht="20.25">
      <c r="A280" s="226"/>
      <c r="B280" s="226"/>
      <c r="C280" s="226"/>
      <c r="D280" s="226"/>
      <c r="E280" s="226"/>
      <c r="F280" s="226"/>
      <c r="G280" s="226"/>
      <c r="H280" s="226"/>
      <c r="I280" s="226"/>
      <c r="J280" s="226"/>
      <c r="K280" s="226"/>
    </row>
    <row r="281" spans="1:11" ht="20.25">
      <c r="A281" s="226"/>
      <c r="B281" s="226"/>
      <c r="C281" s="226"/>
      <c r="D281" s="226"/>
      <c r="E281" s="226"/>
      <c r="F281" s="226"/>
      <c r="G281" s="226"/>
      <c r="H281" s="226"/>
      <c r="I281" s="226"/>
      <c r="J281" s="226"/>
      <c r="K281" s="226"/>
    </row>
    <row r="282" spans="1:11" ht="20.25">
      <c r="A282" s="226"/>
      <c r="B282" s="226"/>
      <c r="C282" s="226"/>
      <c r="D282" s="226"/>
      <c r="E282" s="226"/>
      <c r="F282" s="226"/>
      <c r="G282" s="226"/>
      <c r="H282" s="226"/>
      <c r="I282" s="226"/>
      <c r="J282" s="226"/>
      <c r="K282" s="226"/>
    </row>
    <row r="283" spans="1:11" ht="20.25">
      <c r="A283" s="226"/>
      <c r="B283" s="226"/>
      <c r="C283" s="226"/>
      <c r="D283" s="226"/>
      <c r="E283" s="226"/>
      <c r="F283" s="226"/>
      <c r="G283" s="226"/>
      <c r="H283" s="226"/>
      <c r="I283" s="226"/>
      <c r="J283" s="226"/>
      <c r="K283" s="226"/>
    </row>
    <row r="284" spans="1:11" ht="20.25">
      <c r="A284" s="226"/>
      <c r="B284" s="226"/>
      <c r="C284" s="226"/>
      <c r="D284" s="226"/>
      <c r="E284" s="226"/>
      <c r="F284" s="226"/>
      <c r="G284" s="226"/>
      <c r="H284" s="226"/>
      <c r="I284" s="226"/>
      <c r="J284" s="226"/>
      <c r="K284" s="226"/>
    </row>
    <row r="285" spans="1:11" ht="20.25">
      <c r="A285" s="226"/>
      <c r="B285" s="226"/>
      <c r="C285" s="226"/>
      <c r="D285" s="226"/>
      <c r="E285" s="226"/>
      <c r="F285" s="226"/>
      <c r="G285" s="226"/>
      <c r="H285" s="226"/>
      <c r="I285" s="226"/>
      <c r="J285" s="226"/>
      <c r="K285" s="226"/>
    </row>
    <row r="286" spans="1:11" ht="20.25">
      <c r="A286" s="226"/>
      <c r="B286" s="226"/>
      <c r="C286" s="226"/>
      <c r="D286" s="226"/>
      <c r="E286" s="226"/>
      <c r="F286" s="226"/>
      <c r="G286" s="226"/>
      <c r="H286" s="226"/>
      <c r="I286" s="226"/>
      <c r="J286" s="226"/>
      <c r="K286" s="226"/>
    </row>
    <row r="287" spans="1:11" ht="20.25">
      <c r="A287" s="226"/>
      <c r="B287" s="226"/>
      <c r="C287" s="226"/>
      <c r="D287" s="226"/>
      <c r="E287" s="226"/>
      <c r="F287" s="226"/>
      <c r="G287" s="226"/>
      <c r="H287" s="226"/>
      <c r="I287" s="226"/>
      <c r="J287" s="226"/>
      <c r="K287" s="226"/>
    </row>
    <row r="288" spans="1:11" ht="20.25">
      <c r="A288" s="226"/>
      <c r="B288" s="226"/>
      <c r="C288" s="226"/>
      <c r="D288" s="226"/>
      <c r="E288" s="226"/>
      <c r="F288" s="226"/>
      <c r="G288" s="226"/>
      <c r="H288" s="226"/>
      <c r="I288" s="226"/>
      <c r="J288" s="226"/>
      <c r="K288" s="226"/>
    </row>
    <row r="289" spans="1:11" ht="20.25">
      <c r="A289" s="226"/>
      <c r="B289" s="226"/>
      <c r="C289" s="226"/>
      <c r="D289" s="226"/>
      <c r="E289" s="226"/>
      <c r="F289" s="226"/>
      <c r="G289" s="226"/>
      <c r="H289" s="226"/>
      <c r="I289" s="226"/>
      <c r="J289" s="226"/>
      <c r="K289" s="226"/>
    </row>
    <row r="290" spans="1:11" ht="20.25">
      <c r="A290" s="226"/>
      <c r="B290" s="226"/>
      <c r="C290" s="226"/>
      <c r="D290" s="226"/>
      <c r="E290" s="226"/>
      <c r="F290" s="226"/>
      <c r="G290" s="226"/>
      <c r="H290" s="226"/>
      <c r="I290" s="226"/>
      <c r="J290" s="226"/>
      <c r="K290" s="226"/>
    </row>
    <row r="291" spans="1:11" ht="20.25">
      <c r="A291" s="226"/>
      <c r="B291" s="226"/>
      <c r="C291" s="226"/>
      <c r="D291" s="226"/>
      <c r="E291" s="226"/>
      <c r="F291" s="226"/>
      <c r="G291" s="226"/>
      <c r="H291" s="226"/>
      <c r="I291" s="226"/>
      <c r="J291" s="226"/>
      <c r="K291" s="226"/>
    </row>
    <row r="292" spans="1:11" ht="20.25">
      <c r="A292" s="226"/>
      <c r="B292" s="226"/>
      <c r="C292" s="226"/>
      <c r="D292" s="226"/>
      <c r="E292" s="226"/>
      <c r="F292" s="226"/>
      <c r="G292" s="226"/>
      <c r="H292" s="226"/>
      <c r="I292" s="226"/>
      <c r="J292" s="226"/>
      <c r="K292" s="226"/>
    </row>
    <row r="293" spans="1:11" ht="20.25">
      <c r="A293" s="226"/>
      <c r="B293" s="226"/>
      <c r="C293" s="226"/>
      <c r="D293" s="226"/>
      <c r="E293" s="226"/>
      <c r="F293" s="226"/>
      <c r="G293" s="226"/>
      <c r="H293" s="226"/>
      <c r="I293" s="226"/>
      <c r="J293" s="226"/>
      <c r="K293" s="226"/>
    </row>
    <row r="294" spans="1:11" ht="20.25">
      <c r="A294" s="226"/>
      <c r="B294" s="226"/>
      <c r="C294" s="226"/>
      <c r="D294" s="226"/>
      <c r="E294" s="226"/>
      <c r="F294" s="226"/>
      <c r="G294" s="226"/>
      <c r="H294" s="226"/>
      <c r="I294" s="226"/>
      <c r="J294" s="226"/>
      <c r="K294" s="226"/>
    </row>
    <row r="295" spans="1:11" ht="20.25">
      <c r="A295" s="226"/>
      <c r="B295" s="226"/>
      <c r="C295" s="226"/>
      <c r="D295" s="226"/>
      <c r="E295" s="226"/>
      <c r="F295" s="226"/>
      <c r="G295" s="226"/>
      <c r="H295" s="226"/>
      <c r="I295" s="226"/>
      <c r="J295" s="226"/>
      <c r="K295" s="226"/>
    </row>
    <row r="296" spans="1:11" ht="20.25">
      <c r="A296" s="226"/>
      <c r="B296" s="226"/>
      <c r="C296" s="226"/>
      <c r="D296" s="226"/>
      <c r="E296" s="226"/>
      <c r="F296" s="226"/>
      <c r="G296" s="226"/>
      <c r="H296" s="226"/>
      <c r="I296" s="226"/>
      <c r="J296" s="226"/>
      <c r="K296" s="226"/>
    </row>
    <row r="297" spans="1:11" ht="20.25">
      <c r="A297" s="226"/>
      <c r="B297" s="226"/>
      <c r="C297" s="226"/>
      <c r="D297" s="226"/>
      <c r="E297" s="226"/>
      <c r="F297" s="226"/>
      <c r="G297" s="226"/>
      <c r="H297" s="226"/>
      <c r="I297" s="226"/>
      <c r="J297" s="226"/>
      <c r="K297" s="226"/>
    </row>
    <row r="298" spans="1:11" ht="20.25">
      <c r="A298" s="226"/>
      <c r="B298" s="226"/>
      <c r="C298" s="226"/>
      <c r="D298" s="226"/>
      <c r="E298" s="226"/>
      <c r="F298" s="226"/>
      <c r="G298" s="226"/>
      <c r="H298" s="226"/>
      <c r="I298" s="226"/>
      <c r="J298" s="226"/>
      <c r="K298" s="226"/>
    </row>
    <row r="299" spans="1:11" ht="20.25">
      <c r="A299" s="226"/>
      <c r="B299" s="226"/>
      <c r="C299" s="226"/>
      <c r="D299" s="226"/>
      <c r="E299" s="226"/>
      <c r="F299" s="226"/>
      <c r="G299" s="226"/>
      <c r="H299" s="226"/>
      <c r="I299" s="226"/>
      <c r="J299" s="226"/>
      <c r="K299" s="226"/>
    </row>
    <row r="300" spans="1:11" ht="20.25">
      <c r="A300" s="226"/>
      <c r="B300" s="226"/>
      <c r="C300" s="226"/>
      <c r="D300" s="226"/>
      <c r="E300" s="226"/>
      <c r="F300" s="226"/>
      <c r="G300" s="226"/>
      <c r="H300" s="226"/>
      <c r="I300" s="226"/>
      <c r="J300" s="226"/>
      <c r="K300" s="226"/>
    </row>
    <row r="301" spans="1:11" ht="20.25">
      <c r="A301" s="226"/>
      <c r="B301" s="226"/>
      <c r="C301" s="226"/>
      <c r="D301" s="226"/>
      <c r="E301" s="226"/>
      <c r="F301" s="226"/>
      <c r="G301" s="226"/>
      <c r="H301" s="226"/>
      <c r="I301" s="226"/>
      <c r="J301" s="226"/>
      <c r="K301" s="226"/>
    </row>
    <row r="302" spans="1:11" ht="20.25">
      <c r="A302" s="226"/>
      <c r="B302" s="226"/>
      <c r="C302" s="226"/>
      <c r="D302" s="226"/>
      <c r="E302" s="226"/>
      <c r="F302" s="226"/>
      <c r="G302" s="226"/>
      <c r="H302" s="226"/>
      <c r="I302" s="226"/>
      <c r="J302" s="226"/>
      <c r="K302" s="226"/>
    </row>
    <row r="303" spans="1:11" ht="20.25">
      <c r="A303" s="226"/>
      <c r="B303" s="226"/>
      <c r="C303" s="226"/>
      <c r="D303" s="226"/>
      <c r="E303" s="226"/>
      <c r="F303" s="226"/>
      <c r="G303" s="226"/>
      <c r="H303" s="226"/>
      <c r="I303" s="226"/>
      <c r="J303" s="226"/>
      <c r="K303" s="226"/>
    </row>
    <row r="304" spans="1:11" ht="20.25">
      <c r="A304" s="226"/>
      <c r="B304" s="226"/>
      <c r="C304" s="226"/>
      <c r="D304" s="226"/>
      <c r="E304" s="226"/>
      <c r="F304" s="226"/>
      <c r="G304" s="226"/>
      <c r="H304" s="226"/>
      <c r="I304" s="226"/>
      <c r="J304" s="226"/>
      <c r="K304" s="226"/>
    </row>
    <row r="305" spans="1:11" ht="20.25">
      <c r="A305" s="226"/>
      <c r="B305" s="226"/>
      <c r="C305" s="226"/>
      <c r="D305" s="226"/>
      <c r="E305" s="226"/>
      <c r="F305" s="226"/>
      <c r="G305" s="226"/>
      <c r="H305" s="226"/>
      <c r="I305" s="226"/>
      <c r="J305" s="226"/>
      <c r="K305" s="226"/>
    </row>
    <row r="306" spans="1:11" ht="20.25">
      <c r="A306" s="226"/>
      <c r="B306" s="226"/>
      <c r="C306" s="226"/>
      <c r="D306" s="226"/>
      <c r="E306" s="226"/>
      <c r="F306" s="226"/>
      <c r="G306" s="226"/>
      <c r="H306" s="226"/>
      <c r="I306" s="226"/>
      <c r="J306" s="226"/>
      <c r="K306" s="226"/>
    </row>
    <row r="307" spans="1:11" ht="20.25">
      <c r="A307" s="226"/>
      <c r="B307" s="226"/>
      <c r="C307" s="226"/>
      <c r="D307" s="226"/>
      <c r="E307" s="226"/>
      <c r="F307" s="226"/>
      <c r="G307" s="226"/>
      <c r="H307" s="226"/>
      <c r="I307" s="226"/>
      <c r="J307" s="226"/>
      <c r="K307" s="226"/>
    </row>
    <row r="308" spans="1:11" ht="20.25">
      <c r="A308" s="226"/>
      <c r="B308" s="226"/>
      <c r="C308" s="226"/>
      <c r="D308" s="226"/>
      <c r="E308" s="226"/>
      <c r="F308" s="226"/>
      <c r="G308" s="226"/>
      <c r="H308" s="226"/>
      <c r="I308" s="226"/>
      <c r="J308" s="226"/>
      <c r="K308" s="226"/>
    </row>
    <row r="309" spans="1:11" ht="20.25">
      <c r="A309" s="226"/>
      <c r="B309" s="226"/>
      <c r="C309" s="226"/>
      <c r="D309" s="226"/>
      <c r="E309" s="226"/>
      <c r="F309" s="226"/>
      <c r="G309" s="226"/>
      <c r="H309" s="226"/>
      <c r="I309" s="226"/>
      <c r="J309" s="226"/>
      <c r="K309" s="226"/>
    </row>
    <row r="310" spans="1:11" ht="20.25">
      <c r="A310" s="226"/>
      <c r="B310" s="226"/>
      <c r="C310" s="226"/>
      <c r="D310" s="226"/>
      <c r="E310" s="226"/>
      <c r="F310" s="226"/>
      <c r="G310" s="226"/>
      <c r="H310" s="226"/>
      <c r="I310" s="226"/>
      <c r="J310" s="226"/>
      <c r="K310" s="226"/>
    </row>
    <row r="311" spans="1:11" ht="20.25">
      <c r="A311" s="226"/>
      <c r="B311" s="226"/>
      <c r="C311" s="226"/>
      <c r="D311" s="226"/>
      <c r="E311" s="226"/>
      <c r="F311" s="226"/>
      <c r="G311" s="226"/>
      <c r="H311" s="226"/>
      <c r="I311" s="226"/>
      <c r="J311" s="226"/>
      <c r="K311" s="226"/>
    </row>
    <row r="312" spans="1:11" ht="20.25">
      <c r="A312" s="226"/>
      <c r="B312" s="226"/>
      <c r="C312" s="226"/>
      <c r="D312" s="226"/>
      <c r="E312" s="226"/>
      <c r="F312" s="226"/>
      <c r="G312" s="226"/>
      <c r="H312" s="226"/>
      <c r="I312" s="226"/>
      <c r="J312" s="226"/>
      <c r="K312" s="226"/>
    </row>
    <row r="313" spans="1:11" ht="20.25">
      <c r="A313" s="226"/>
      <c r="B313" s="226"/>
      <c r="C313" s="226"/>
      <c r="D313" s="226"/>
      <c r="E313" s="226"/>
      <c r="F313" s="226"/>
      <c r="G313" s="226"/>
      <c r="H313" s="226"/>
      <c r="I313" s="226"/>
      <c r="J313" s="226"/>
      <c r="K313" s="226"/>
    </row>
    <row r="314" spans="1:11" ht="20.25">
      <c r="A314" s="226"/>
      <c r="B314" s="226"/>
      <c r="C314" s="226"/>
      <c r="D314" s="226"/>
      <c r="E314" s="226"/>
      <c r="F314" s="226"/>
      <c r="G314" s="226"/>
      <c r="H314" s="226"/>
      <c r="I314" s="226"/>
      <c r="J314" s="226"/>
      <c r="K314" s="226"/>
    </row>
    <row r="315" spans="1:11" ht="20.25">
      <c r="A315" s="226"/>
      <c r="B315" s="226"/>
      <c r="C315" s="226"/>
      <c r="D315" s="226"/>
      <c r="E315" s="226"/>
      <c r="F315" s="226"/>
      <c r="G315" s="226"/>
      <c r="H315" s="226"/>
      <c r="I315" s="226"/>
      <c r="J315" s="226"/>
      <c r="K315" s="226"/>
    </row>
    <row r="316" spans="1:11" ht="20.25">
      <c r="A316" s="226"/>
      <c r="B316" s="226"/>
      <c r="C316" s="226"/>
      <c r="D316" s="226"/>
      <c r="E316" s="226"/>
      <c r="F316" s="226"/>
      <c r="G316" s="226"/>
      <c r="H316" s="226"/>
      <c r="I316" s="226"/>
      <c r="J316" s="226"/>
      <c r="K316" s="226"/>
    </row>
    <row r="317" spans="1:11" ht="20.25">
      <c r="A317" s="226"/>
      <c r="B317" s="226"/>
      <c r="C317" s="226"/>
      <c r="D317" s="226"/>
      <c r="E317" s="226"/>
      <c r="F317" s="226"/>
      <c r="G317" s="226"/>
      <c r="H317" s="226"/>
      <c r="I317" s="226"/>
      <c r="J317" s="226"/>
      <c r="K317" s="226"/>
    </row>
    <row r="318" spans="1:11" ht="20.25">
      <c r="A318" s="226"/>
      <c r="B318" s="226"/>
      <c r="C318" s="226"/>
      <c r="D318" s="226"/>
      <c r="E318" s="226"/>
      <c r="F318" s="226"/>
      <c r="G318" s="226"/>
      <c r="H318" s="226"/>
      <c r="I318" s="226"/>
      <c r="J318" s="226"/>
      <c r="K318" s="226"/>
    </row>
    <row r="319" spans="1:11" ht="20.25">
      <c r="A319" s="226"/>
      <c r="B319" s="226"/>
      <c r="C319" s="226"/>
      <c r="D319" s="226"/>
      <c r="E319" s="226"/>
      <c r="F319" s="226"/>
      <c r="G319" s="226"/>
      <c r="H319" s="226"/>
      <c r="I319" s="226"/>
      <c r="J319" s="226"/>
      <c r="K319" s="226"/>
    </row>
    <row r="320" spans="1:11" ht="20.25">
      <c r="A320" s="226"/>
      <c r="B320" s="226"/>
      <c r="C320" s="226"/>
      <c r="D320" s="226"/>
      <c r="E320" s="226"/>
      <c r="F320" s="226"/>
      <c r="G320" s="226"/>
      <c r="H320" s="226"/>
      <c r="I320" s="226"/>
      <c r="J320" s="226"/>
      <c r="K320" s="226"/>
    </row>
    <row r="321" spans="1:11" ht="20.25">
      <c r="A321" s="226"/>
      <c r="B321" s="226"/>
      <c r="C321" s="226"/>
      <c r="D321" s="226"/>
      <c r="E321" s="226"/>
      <c r="F321" s="226"/>
      <c r="G321" s="226"/>
      <c r="H321" s="226"/>
      <c r="I321" s="226"/>
      <c r="J321" s="226"/>
      <c r="K321" s="226"/>
    </row>
    <row r="322" spans="1:11" ht="20.25">
      <c r="A322" s="226"/>
      <c r="B322" s="226"/>
      <c r="C322" s="226"/>
      <c r="D322" s="226"/>
      <c r="E322" s="226"/>
      <c r="F322" s="226"/>
      <c r="G322" s="226"/>
      <c r="H322" s="226"/>
      <c r="I322" s="226"/>
      <c r="J322" s="226"/>
      <c r="K322" s="226"/>
    </row>
    <row r="323" spans="1:11" ht="20.25">
      <c r="A323" s="226"/>
      <c r="B323" s="226"/>
      <c r="C323" s="226"/>
      <c r="D323" s="226"/>
      <c r="E323" s="226"/>
      <c r="F323" s="226"/>
      <c r="G323" s="226"/>
      <c r="H323" s="226"/>
      <c r="I323" s="226"/>
      <c r="J323" s="226"/>
      <c r="K323" s="226"/>
    </row>
    <row r="324" spans="1:11" ht="20.25">
      <c r="A324" s="226"/>
      <c r="B324" s="226"/>
      <c r="C324" s="226"/>
      <c r="D324" s="226"/>
      <c r="E324" s="226"/>
      <c r="F324" s="226"/>
      <c r="G324" s="226"/>
      <c r="H324" s="226"/>
      <c r="I324" s="226"/>
      <c r="J324" s="226"/>
      <c r="K324" s="226"/>
    </row>
    <row r="325" spans="1:11" ht="20.25">
      <c r="A325" s="226"/>
      <c r="B325" s="226"/>
      <c r="C325" s="226"/>
      <c r="D325" s="226"/>
      <c r="E325" s="226"/>
      <c r="F325" s="226"/>
      <c r="G325" s="226"/>
      <c r="H325" s="226"/>
      <c r="I325" s="226"/>
      <c r="J325" s="226"/>
      <c r="K325" s="226"/>
    </row>
    <row r="326" spans="1:11" ht="20.25">
      <c r="A326" s="226"/>
      <c r="B326" s="226"/>
      <c r="C326" s="226"/>
      <c r="D326" s="226"/>
      <c r="E326" s="226"/>
      <c r="F326" s="226"/>
      <c r="G326" s="226"/>
      <c r="H326" s="226"/>
      <c r="I326" s="226"/>
      <c r="J326" s="226"/>
      <c r="K326" s="226"/>
    </row>
    <row r="327" spans="1:11" ht="20.25">
      <c r="A327" s="226"/>
      <c r="B327" s="226"/>
      <c r="C327" s="226"/>
      <c r="D327" s="226"/>
      <c r="E327" s="226"/>
      <c r="F327" s="226"/>
      <c r="G327" s="226"/>
      <c r="H327" s="226"/>
      <c r="I327" s="226"/>
      <c r="J327" s="226"/>
      <c r="K327" s="226"/>
    </row>
    <row r="328" spans="1:11" ht="20.25">
      <c r="A328" s="226"/>
      <c r="B328" s="226"/>
      <c r="C328" s="226"/>
      <c r="D328" s="226"/>
      <c r="E328" s="226"/>
      <c r="F328" s="226"/>
      <c r="G328" s="226"/>
      <c r="H328" s="226"/>
      <c r="I328" s="226"/>
      <c r="J328" s="226"/>
      <c r="K328" s="226"/>
    </row>
    <row r="329" spans="1:11" ht="20.25">
      <c r="A329" s="226"/>
      <c r="B329" s="226"/>
      <c r="C329" s="226"/>
      <c r="D329" s="226"/>
      <c r="E329" s="226"/>
      <c r="F329" s="226"/>
      <c r="G329" s="226"/>
      <c r="H329" s="226"/>
      <c r="I329" s="226"/>
      <c r="J329" s="226"/>
      <c r="K329" s="226"/>
    </row>
    <row r="330" spans="1:11" ht="20.25">
      <c r="A330" s="226"/>
      <c r="B330" s="226"/>
      <c r="C330" s="226"/>
      <c r="D330" s="226"/>
      <c r="E330" s="226"/>
      <c r="F330" s="226"/>
      <c r="G330" s="226"/>
      <c r="H330" s="226"/>
      <c r="I330" s="226"/>
      <c r="J330" s="226"/>
      <c r="K330" s="226"/>
    </row>
    <row r="331" spans="1:11" ht="20.25">
      <c r="A331" s="226"/>
      <c r="B331" s="226"/>
      <c r="C331" s="226"/>
      <c r="D331" s="226"/>
      <c r="E331" s="226"/>
      <c r="F331" s="226"/>
      <c r="G331" s="226"/>
      <c r="H331" s="226"/>
      <c r="I331" s="226"/>
      <c r="J331" s="226"/>
      <c r="K331" s="226"/>
    </row>
    <row r="332" spans="1:11" ht="20.25">
      <c r="A332" s="226"/>
      <c r="B332" s="226"/>
      <c r="C332" s="226"/>
      <c r="D332" s="226"/>
      <c r="E332" s="226"/>
      <c r="F332" s="226"/>
      <c r="G332" s="226"/>
      <c r="H332" s="226"/>
      <c r="I332" s="226"/>
      <c r="J332" s="226"/>
      <c r="K332" s="226"/>
    </row>
    <row r="333" spans="1:11" ht="20.25">
      <c r="A333" s="226"/>
      <c r="B333" s="226"/>
      <c r="C333" s="226"/>
      <c r="D333" s="226"/>
      <c r="E333" s="226"/>
      <c r="F333" s="226"/>
      <c r="G333" s="226"/>
      <c r="H333" s="226"/>
      <c r="I333" s="226"/>
      <c r="J333" s="226"/>
      <c r="K333" s="226"/>
    </row>
    <row r="334" spans="1:11" ht="20.25">
      <c r="A334" s="226"/>
      <c r="B334" s="226"/>
      <c r="C334" s="226"/>
      <c r="D334" s="226"/>
      <c r="E334" s="226"/>
      <c r="F334" s="226"/>
      <c r="G334" s="226"/>
      <c r="H334" s="226"/>
      <c r="I334" s="226"/>
      <c r="J334" s="226"/>
      <c r="K334" s="226"/>
    </row>
    <row r="335" spans="1:11" ht="20.25">
      <c r="A335" s="226"/>
      <c r="B335" s="226"/>
      <c r="C335" s="226"/>
      <c r="D335" s="226"/>
      <c r="E335" s="226"/>
      <c r="F335" s="226"/>
      <c r="G335" s="226"/>
      <c r="H335" s="226"/>
      <c r="I335" s="226"/>
      <c r="J335" s="226"/>
      <c r="K335" s="226"/>
    </row>
    <row r="336" spans="1:11" ht="20.25">
      <c r="A336" s="226"/>
      <c r="B336" s="226"/>
      <c r="C336" s="226"/>
      <c r="D336" s="226"/>
      <c r="E336" s="226"/>
      <c r="F336" s="226"/>
      <c r="G336" s="226"/>
      <c r="H336" s="226"/>
      <c r="I336" s="226"/>
      <c r="J336" s="226"/>
      <c r="K336" s="226"/>
    </row>
    <row r="337" spans="1:11" ht="20.25">
      <c r="A337" s="226"/>
      <c r="B337" s="226"/>
      <c r="C337" s="226"/>
      <c r="D337" s="226"/>
      <c r="E337" s="226"/>
      <c r="F337" s="226"/>
      <c r="G337" s="226"/>
      <c r="H337" s="226"/>
      <c r="I337" s="226"/>
      <c r="J337" s="226"/>
      <c r="K337" s="226"/>
    </row>
    <row r="338" spans="1:11" ht="20.25">
      <c r="A338" s="226"/>
      <c r="B338" s="226"/>
      <c r="C338" s="226"/>
      <c r="D338" s="226"/>
      <c r="E338" s="226"/>
      <c r="F338" s="226"/>
      <c r="G338" s="226"/>
      <c r="H338" s="226"/>
      <c r="I338" s="226"/>
      <c r="J338" s="226"/>
      <c r="K338" s="226"/>
    </row>
    <row r="339" spans="1:11" ht="20.25">
      <c r="A339" s="226"/>
      <c r="B339" s="226"/>
      <c r="C339" s="226"/>
      <c r="D339" s="226"/>
      <c r="E339" s="226"/>
      <c r="F339" s="226"/>
      <c r="G339" s="226"/>
      <c r="H339" s="226"/>
      <c r="I339" s="226"/>
      <c r="J339" s="226"/>
      <c r="K339" s="226"/>
    </row>
    <row r="340" spans="1:11" ht="20.25">
      <c r="A340" s="226"/>
      <c r="B340" s="226"/>
      <c r="C340" s="226"/>
      <c r="D340" s="226"/>
      <c r="E340" s="226"/>
      <c r="F340" s="226"/>
      <c r="G340" s="226"/>
      <c r="H340" s="226"/>
      <c r="I340" s="226"/>
      <c r="J340" s="226"/>
      <c r="K340" s="226"/>
    </row>
    <row r="341" spans="1:11" ht="20.25">
      <c r="A341" s="226"/>
      <c r="B341" s="226"/>
      <c r="C341" s="226"/>
      <c r="D341" s="226"/>
      <c r="E341" s="226"/>
      <c r="F341" s="226"/>
      <c r="G341" s="226"/>
      <c r="H341" s="226"/>
      <c r="I341" s="226"/>
      <c r="J341" s="226"/>
      <c r="K341" s="226"/>
    </row>
    <row r="342" spans="1:11" ht="20.25">
      <c r="A342" s="226"/>
      <c r="B342" s="226"/>
      <c r="C342" s="226"/>
      <c r="D342" s="226"/>
      <c r="E342" s="226"/>
      <c r="F342" s="226"/>
      <c r="G342" s="226"/>
      <c r="H342" s="226"/>
      <c r="I342" s="226"/>
      <c r="J342" s="226"/>
      <c r="K342" s="226"/>
    </row>
    <row r="343" spans="1:11" ht="20.25">
      <c r="A343" s="226"/>
      <c r="B343" s="226"/>
      <c r="C343" s="226"/>
      <c r="D343" s="226"/>
      <c r="E343" s="226"/>
      <c r="F343" s="226"/>
      <c r="G343" s="226"/>
      <c r="H343" s="226"/>
      <c r="I343" s="226"/>
      <c r="J343" s="226"/>
      <c r="K343" s="226"/>
    </row>
    <row r="344" spans="1:11" ht="20.25">
      <c r="A344" s="226"/>
      <c r="B344" s="226"/>
      <c r="C344" s="226"/>
      <c r="D344" s="226"/>
      <c r="E344" s="226"/>
      <c r="F344" s="226"/>
      <c r="G344" s="226"/>
      <c r="H344" s="226"/>
      <c r="I344" s="226"/>
      <c r="J344" s="226"/>
      <c r="K344" s="226"/>
    </row>
    <row r="345" spans="1:11" ht="20.25">
      <c r="A345" s="226"/>
      <c r="B345" s="226"/>
      <c r="C345" s="226"/>
      <c r="D345" s="226"/>
      <c r="E345" s="226"/>
      <c r="F345" s="226"/>
      <c r="G345" s="226"/>
      <c r="H345" s="226"/>
      <c r="I345" s="226"/>
      <c r="J345" s="226"/>
      <c r="K345" s="226"/>
    </row>
    <row r="346" spans="1:11" ht="20.25">
      <c r="A346" s="226"/>
      <c r="B346" s="226"/>
      <c r="C346" s="226"/>
      <c r="D346" s="226"/>
      <c r="E346" s="226"/>
      <c r="F346" s="226"/>
      <c r="G346" s="226"/>
      <c r="H346" s="226"/>
      <c r="I346" s="226"/>
      <c r="J346" s="226"/>
      <c r="K346" s="226"/>
    </row>
    <row r="347" spans="1:11" ht="20.25">
      <c r="A347" s="226"/>
      <c r="B347" s="226"/>
      <c r="C347" s="226"/>
      <c r="D347" s="226"/>
      <c r="E347" s="226"/>
      <c r="F347" s="226"/>
      <c r="G347" s="226"/>
      <c r="H347" s="226"/>
      <c r="I347" s="226"/>
      <c r="J347" s="226"/>
      <c r="K347" s="226"/>
    </row>
    <row r="348" spans="1:11" ht="20.25">
      <c r="A348" s="226"/>
      <c r="B348" s="226"/>
      <c r="C348" s="226"/>
      <c r="D348" s="226"/>
      <c r="E348" s="226"/>
      <c r="F348" s="226"/>
      <c r="G348" s="226"/>
      <c r="H348" s="226"/>
      <c r="I348" s="226"/>
      <c r="J348" s="226"/>
      <c r="K348" s="226"/>
    </row>
    <row r="349" spans="1:11" ht="20.25">
      <c r="A349" s="226"/>
      <c r="B349" s="226"/>
      <c r="C349" s="226"/>
      <c r="D349" s="226"/>
      <c r="E349" s="226"/>
      <c r="F349" s="226"/>
      <c r="G349" s="226"/>
      <c r="H349" s="226"/>
      <c r="I349" s="226"/>
      <c r="J349" s="226"/>
      <c r="K349" s="226"/>
    </row>
    <row r="350" spans="1:11" ht="20.25">
      <c r="A350" s="226"/>
      <c r="B350" s="226"/>
      <c r="C350" s="226"/>
      <c r="D350" s="226"/>
      <c r="E350" s="226"/>
      <c r="F350" s="226"/>
      <c r="G350" s="226"/>
      <c r="H350" s="226"/>
      <c r="I350" s="226"/>
      <c r="J350" s="226"/>
      <c r="K350" s="226"/>
    </row>
    <row r="351" spans="1:11" ht="20.25">
      <c r="A351" s="226"/>
      <c r="B351" s="226"/>
      <c r="C351" s="226"/>
      <c r="D351" s="226"/>
      <c r="E351" s="226"/>
      <c r="F351" s="226"/>
      <c r="G351" s="226"/>
      <c r="H351" s="226"/>
      <c r="I351" s="226"/>
      <c r="J351" s="226"/>
      <c r="K351" s="226"/>
    </row>
    <row r="352" spans="1:11" ht="20.25">
      <c r="A352" s="226"/>
      <c r="B352" s="226"/>
      <c r="C352" s="226"/>
      <c r="D352" s="226"/>
      <c r="E352" s="226"/>
      <c r="F352" s="226"/>
      <c r="G352" s="226"/>
      <c r="H352" s="226"/>
      <c r="I352" s="226"/>
      <c r="J352" s="226"/>
      <c r="K352" s="226"/>
    </row>
    <row r="353" spans="1:11" ht="20.25">
      <c r="A353" s="226"/>
      <c r="B353" s="226"/>
      <c r="C353" s="226"/>
      <c r="D353" s="226"/>
      <c r="E353" s="226"/>
      <c r="F353" s="226"/>
      <c r="G353" s="226"/>
      <c r="H353" s="226"/>
      <c r="I353" s="226"/>
      <c r="J353" s="226"/>
      <c r="K353" s="226"/>
    </row>
    <row r="354" spans="1:11" ht="20.25">
      <c r="A354" s="226"/>
      <c r="B354" s="226"/>
      <c r="C354" s="226"/>
      <c r="D354" s="226"/>
      <c r="E354" s="226"/>
      <c r="F354" s="226"/>
      <c r="G354" s="226"/>
      <c r="H354" s="226"/>
      <c r="I354" s="226"/>
      <c r="J354" s="226"/>
      <c r="K354" s="226"/>
    </row>
    <row r="355" spans="1:11" ht="20.25">
      <c r="A355" s="226"/>
      <c r="B355" s="226"/>
      <c r="C355" s="226"/>
      <c r="D355" s="226"/>
      <c r="E355" s="226"/>
      <c r="F355" s="226"/>
      <c r="G355" s="226"/>
      <c r="H355" s="226"/>
      <c r="I355" s="226"/>
      <c r="J355" s="226"/>
      <c r="K355" s="226"/>
    </row>
    <row r="356" spans="1:11" ht="20.25">
      <c r="A356" s="226"/>
      <c r="B356" s="226"/>
      <c r="C356" s="226"/>
      <c r="D356" s="226"/>
      <c r="E356" s="226"/>
      <c r="F356" s="226"/>
      <c r="G356" s="226"/>
      <c r="H356" s="226"/>
      <c r="I356" s="226"/>
      <c r="J356" s="226"/>
      <c r="K356" s="226"/>
    </row>
    <row r="357" spans="1:11" ht="20.25">
      <c r="A357" s="226"/>
      <c r="B357" s="226"/>
      <c r="C357" s="226"/>
      <c r="D357" s="226"/>
      <c r="E357" s="226"/>
      <c r="F357" s="226"/>
      <c r="G357" s="226"/>
      <c r="H357" s="226"/>
      <c r="I357" s="226"/>
      <c r="J357" s="226"/>
      <c r="K357" s="226"/>
    </row>
    <row r="358" spans="1:11" ht="20.25">
      <c r="A358" s="226"/>
      <c r="B358" s="226"/>
      <c r="C358" s="226"/>
      <c r="D358" s="226"/>
      <c r="E358" s="226"/>
      <c r="F358" s="226"/>
      <c r="G358" s="226"/>
      <c r="H358" s="226"/>
      <c r="I358" s="226"/>
      <c r="J358" s="226"/>
      <c r="K358" s="226"/>
    </row>
    <row r="359" spans="1:11" ht="20.25">
      <c r="A359" s="226"/>
      <c r="B359" s="226"/>
      <c r="C359" s="226"/>
      <c r="D359" s="226"/>
      <c r="E359" s="226"/>
      <c r="F359" s="226"/>
      <c r="G359" s="226"/>
      <c r="H359" s="226"/>
      <c r="I359" s="226"/>
      <c r="J359" s="226"/>
      <c r="K359" s="226"/>
    </row>
    <row r="360" spans="1:11" ht="20.25">
      <c r="A360" s="226"/>
      <c r="B360" s="226"/>
      <c r="C360" s="226"/>
      <c r="D360" s="226"/>
      <c r="E360" s="226"/>
      <c r="F360" s="226"/>
      <c r="G360" s="226"/>
      <c r="H360" s="226"/>
      <c r="I360" s="226"/>
      <c r="J360" s="226"/>
      <c r="K360" s="226"/>
    </row>
    <row r="361" spans="1:11" ht="20.25">
      <c r="A361" s="226"/>
      <c r="B361" s="226"/>
      <c r="C361" s="226"/>
      <c r="D361" s="226"/>
      <c r="E361" s="226"/>
      <c r="F361" s="226"/>
      <c r="G361" s="226"/>
      <c r="H361" s="226"/>
      <c r="I361" s="226"/>
      <c r="J361" s="226"/>
      <c r="K361" s="226"/>
    </row>
    <row r="362" spans="1:11" ht="20.25">
      <c r="A362" s="226"/>
      <c r="B362" s="226"/>
      <c r="C362" s="226"/>
      <c r="D362" s="226"/>
      <c r="E362" s="226"/>
      <c r="F362" s="226"/>
      <c r="G362" s="226"/>
      <c r="H362" s="226"/>
      <c r="I362" s="226"/>
      <c r="J362" s="226"/>
      <c r="K362" s="226"/>
    </row>
    <row r="363" spans="1:11" ht="20.25">
      <c r="A363" s="226"/>
      <c r="B363" s="226"/>
      <c r="C363" s="226"/>
      <c r="D363" s="226"/>
      <c r="E363" s="226"/>
      <c r="F363" s="226"/>
      <c r="G363" s="226"/>
      <c r="H363" s="226"/>
      <c r="I363" s="226"/>
      <c r="J363" s="226"/>
      <c r="K363" s="226"/>
    </row>
    <row r="364" spans="1:11" ht="20.25">
      <c r="A364" s="226"/>
      <c r="B364" s="226"/>
      <c r="C364" s="226"/>
      <c r="D364" s="226"/>
      <c r="E364" s="226"/>
      <c r="F364" s="226"/>
      <c r="G364" s="226"/>
      <c r="H364" s="226"/>
      <c r="I364" s="226"/>
      <c r="J364" s="226"/>
      <c r="K364" s="226"/>
    </row>
    <row r="365" spans="1:11" ht="20.25">
      <c r="A365" s="226"/>
      <c r="B365" s="226"/>
      <c r="C365" s="226"/>
      <c r="D365" s="226"/>
      <c r="E365" s="226"/>
      <c r="F365" s="226"/>
      <c r="G365" s="226"/>
      <c r="H365" s="226"/>
      <c r="I365" s="226"/>
      <c r="J365" s="226"/>
      <c r="K365" s="226"/>
    </row>
    <row r="366" spans="1:11" ht="20.25">
      <c r="A366" s="226"/>
      <c r="B366" s="226"/>
      <c r="C366" s="226"/>
      <c r="D366" s="226"/>
      <c r="E366" s="226"/>
      <c r="F366" s="226"/>
      <c r="G366" s="226"/>
      <c r="H366" s="226"/>
      <c r="I366" s="226"/>
      <c r="J366" s="226"/>
      <c r="K366" s="226"/>
    </row>
    <row r="367" spans="1:11" ht="20.25">
      <c r="A367" s="226"/>
      <c r="B367" s="226"/>
      <c r="C367" s="226"/>
      <c r="D367" s="226"/>
      <c r="E367" s="226"/>
      <c r="F367" s="226"/>
      <c r="G367" s="226"/>
      <c r="H367" s="226"/>
      <c r="I367" s="226"/>
      <c r="J367" s="226"/>
      <c r="K367" s="226"/>
    </row>
    <row r="368" spans="1:11" ht="20.25">
      <c r="A368" s="226"/>
      <c r="B368" s="226"/>
      <c r="C368" s="226"/>
      <c r="D368" s="226"/>
      <c r="E368" s="226"/>
      <c r="F368" s="226"/>
      <c r="G368" s="226"/>
      <c r="H368" s="226"/>
      <c r="I368" s="226"/>
      <c r="J368" s="226"/>
      <c r="K368" s="226"/>
    </row>
    <row r="369" spans="1:11" ht="20.25">
      <c r="A369" s="226"/>
      <c r="B369" s="226"/>
      <c r="C369" s="226"/>
      <c r="D369" s="226"/>
      <c r="E369" s="226"/>
      <c r="F369" s="226"/>
      <c r="G369" s="226"/>
      <c r="H369" s="226"/>
      <c r="I369" s="226"/>
      <c r="J369" s="226"/>
      <c r="K369" s="226"/>
    </row>
    <row r="370" spans="1:11" ht="20.25">
      <c r="A370" s="226"/>
      <c r="B370" s="226"/>
      <c r="C370" s="226"/>
      <c r="D370" s="226"/>
      <c r="E370" s="226"/>
      <c r="F370" s="226"/>
      <c r="G370" s="226"/>
      <c r="H370" s="226"/>
      <c r="I370" s="226"/>
      <c r="J370" s="226"/>
      <c r="K370" s="226"/>
    </row>
    <row r="371" spans="1:11" ht="20.25">
      <c r="A371" s="226"/>
      <c r="B371" s="226"/>
      <c r="C371" s="226"/>
      <c r="D371" s="226"/>
      <c r="E371" s="226"/>
      <c r="F371" s="226"/>
      <c r="G371" s="226"/>
      <c r="H371" s="226"/>
      <c r="I371" s="226"/>
      <c r="J371" s="226"/>
      <c r="K371" s="226"/>
    </row>
    <row r="372" spans="1:11" ht="20.25">
      <c r="A372" s="226"/>
      <c r="B372" s="226"/>
      <c r="C372" s="226"/>
      <c r="D372" s="226"/>
      <c r="E372" s="226"/>
      <c r="F372" s="226"/>
      <c r="G372" s="226"/>
      <c r="H372" s="226"/>
      <c r="I372" s="226"/>
      <c r="J372" s="226"/>
      <c r="K372" s="226"/>
    </row>
    <row r="373" spans="1:11" ht="20.25">
      <c r="A373" s="226"/>
      <c r="B373" s="226"/>
      <c r="C373" s="226"/>
      <c r="D373" s="226"/>
      <c r="E373" s="226"/>
      <c r="F373" s="226"/>
      <c r="G373" s="226"/>
      <c r="H373" s="226"/>
      <c r="I373" s="226"/>
      <c r="J373" s="226"/>
      <c r="K373" s="226"/>
    </row>
    <row r="374" spans="1:11" ht="20.25">
      <c r="A374" s="226"/>
      <c r="B374" s="226"/>
      <c r="C374" s="226"/>
      <c r="D374" s="226"/>
      <c r="E374" s="226"/>
      <c r="F374" s="226"/>
      <c r="G374" s="226"/>
      <c r="H374" s="226"/>
      <c r="I374" s="226"/>
      <c r="J374" s="226"/>
      <c r="K374" s="226"/>
    </row>
    <row r="375" spans="1:11" ht="20.25">
      <c r="A375" s="226"/>
      <c r="B375" s="226"/>
      <c r="C375" s="226"/>
      <c r="D375" s="226"/>
      <c r="E375" s="226"/>
      <c r="F375" s="226"/>
      <c r="G375" s="226"/>
      <c r="H375" s="226"/>
      <c r="I375" s="226"/>
      <c r="J375" s="226"/>
      <c r="K375" s="226"/>
    </row>
    <row r="376" spans="1:11" ht="20.25">
      <c r="A376" s="226"/>
      <c r="B376" s="226"/>
      <c r="C376" s="226"/>
      <c r="D376" s="226"/>
      <c r="E376" s="226"/>
      <c r="F376" s="226"/>
      <c r="G376" s="226"/>
      <c r="H376" s="226"/>
      <c r="I376" s="226"/>
      <c r="J376" s="226"/>
      <c r="K376" s="226"/>
    </row>
    <row r="377" spans="1:11" ht="20.25">
      <c r="A377" s="226"/>
      <c r="B377" s="226"/>
      <c r="C377" s="226"/>
      <c r="D377" s="226"/>
      <c r="E377" s="226"/>
      <c r="F377" s="226"/>
      <c r="G377" s="226"/>
      <c r="H377" s="226"/>
      <c r="I377" s="226"/>
      <c r="J377" s="226"/>
      <c r="K377" s="226"/>
    </row>
    <row r="378" spans="1:11" ht="20.25">
      <c r="A378" s="226"/>
      <c r="B378" s="226"/>
      <c r="C378" s="226"/>
      <c r="D378" s="226"/>
      <c r="E378" s="226"/>
      <c r="F378" s="226"/>
      <c r="G378" s="226"/>
      <c r="H378" s="226"/>
      <c r="I378" s="226"/>
      <c r="J378" s="226"/>
      <c r="K378" s="226"/>
    </row>
    <row r="379" spans="1:11" ht="20.25">
      <c r="A379" s="226"/>
      <c r="B379" s="226"/>
      <c r="C379" s="226"/>
      <c r="D379" s="226"/>
      <c r="E379" s="226"/>
      <c r="F379" s="226"/>
      <c r="G379" s="226"/>
      <c r="H379" s="226"/>
      <c r="I379" s="226"/>
      <c r="J379" s="226"/>
      <c r="K379" s="226"/>
    </row>
    <row r="380" spans="1:11" ht="20.25">
      <c r="A380" s="226"/>
      <c r="B380" s="226"/>
      <c r="C380" s="226"/>
      <c r="D380" s="226"/>
      <c r="E380" s="226"/>
      <c r="F380" s="226"/>
      <c r="G380" s="226"/>
      <c r="H380" s="226"/>
      <c r="I380" s="226"/>
      <c r="J380" s="226"/>
      <c r="K380" s="226"/>
    </row>
    <row r="381" spans="1:11" ht="20.25">
      <c r="A381" s="226"/>
      <c r="B381" s="226"/>
      <c r="C381" s="226"/>
      <c r="D381" s="226"/>
      <c r="E381" s="226"/>
      <c r="F381" s="226"/>
      <c r="G381" s="226"/>
      <c r="H381" s="226"/>
      <c r="I381" s="226"/>
      <c r="J381" s="226"/>
      <c r="K381" s="226"/>
    </row>
    <row r="382" spans="1:11" ht="20.25">
      <c r="A382" s="226"/>
      <c r="B382" s="226"/>
      <c r="C382" s="226"/>
      <c r="D382" s="226"/>
      <c r="E382" s="226"/>
      <c r="F382" s="226"/>
      <c r="G382" s="226"/>
      <c r="H382" s="226"/>
      <c r="I382" s="226"/>
      <c r="J382" s="226"/>
      <c r="K382" s="226"/>
    </row>
    <row r="383" spans="1:11" ht="20.25">
      <c r="A383" s="226"/>
      <c r="B383" s="226"/>
      <c r="C383" s="226"/>
      <c r="D383" s="226"/>
      <c r="E383" s="226"/>
      <c r="F383" s="226"/>
      <c r="G383" s="226"/>
      <c r="H383" s="226"/>
      <c r="I383" s="226"/>
      <c r="J383" s="226"/>
      <c r="K383" s="226"/>
    </row>
    <row r="384" spans="1:11" ht="20.25">
      <c r="A384" s="226"/>
      <c r="B384" s="226"/>
      <c r="C384" s="226"/>
      <c r="D384" s="226"/>
      <c r="E384" s="226"/>
      <c r="F384" s="226"/>
      <c r="G384" s="226"/>
      <c r="H384" s="226"/>
      <c r="I384" s="226"/>
      <c r="J384" s="226"/>
      <c r="K384" s="226"/>
    </row>
    <row r="385" spans="1:11" ht="20.25">
      <c r="A385" s="226"/>
      <c r="B385" s="226"/>
      <c r="C385" s="226"/>
      <c r="D385" s="226"/>
      <c r="E385" s="226"/>
      <c r="F385" s="226"/>
      <c r="G385" s="226"/>
      <c r="H385" s="226"/>
      <c r="I385" s="226"/>
      <c r="J385" s="226"/>
      <c r="K385" s="226"/>
    </row>
    <row r="386" spans="1:11" ht="20.25">
      <c r="A386" s="226"/>
      <c r="B386" s="226"/>
      <c r="C386" s="226"/>
      <c r="D386" s="226"/>
      <c r="E386" s="226"/>
      <c r="F386" s="226"/>
      <c r="G386" s="226"/>
      <c r="H386" s="226"/>
      <c r="I386" s="226"/>
      <c r="J386" s="226"/>
      <c r="K386" s="226"/>
    </row>
    <row r="387" spans="1:11" ht="20.25">
      <c r="A387" s="226"/>
      <c r="B387" s="226"/>
      <c r="C387" s="226"/>
      <c r="D387" s="226"/>
      <c r="E387" s="226"/>
      <c r="F387" s="226"/>
      <c r="G387" s="226"/>
      <c r="H387" s="226"/>
      <c r="I387" s="226"/>
      <c r="J387" s="226"/>
      <c r="K387" s="226"/>
    </row>
    <row r="388" spans="1:11" ht="20.25">
      <c r="A388" s="226"/>
      <c r="B388" s="226"/>
      <c r="C388" s="226"/>
      <c r="D388" s="226"/>
      <c r="E388" s="226"/>
      <c r="F388" s="226"/>
      <c r="G388" s="226"/>
      <c r="H388" s="226"/>
      <c r="I388" s="226"/>
      <c r="J388" s="226"/>
      <c r="K388" s="226"/>
    </row>
    <row r="389" spans="1:11" ht="20.25">
      <c r="A389" s="226"/>
      <c r="B389" s="226"/>
      <c r="C389" s="226"/>
      <c r="D389" s="226"/>
      <c r="E389" s="226"/>
      <c r="F389" s="226"/>
      <c r="G389" s="226"/>
      <c r="H389" s="226"/>
      <c r="I389" s="226"/>
      <c r="J389" s="226"/>
      <c r="K389" s="226"/>
    </row>
    <row r="390" spans="1:11" ht="20.25">
      <c r="A390" s="226"/>
      <c r="B390" s="226"/>
      <c r="C390" s="226"/>
      <c r="D390" s="226"/>
      <c r="E390" s="226"/>
      <c r="F390" s="226"/>
      <c r="G390" s="226"/>
      <c r="H390" s="226"/>
      <c r="I390" s="226"/>
      <c r="J390" s="226"/>
      <c r="K390" s="226"/>
    </row>
    <row r="391" spans="1:11" ht="20.25">
      <c r="A391" s="226"/>
      <c r="B391" s="226"/>
      <c r="C391" s="226"/>
      <c r="D391" s="226"/>
      <c r="E391" s="226"/>
      <c r="F391" s="226"/>
      <c r="G391" s="226"/>
      <c r="H391" s="226"/>
      <c r="I391" s="226"/>
      <c r="J391" s="226"/>
      <c r="K391" s="226"/>
    </row>
    <row r="392" spans="1:11" ht="20.25">
      <c r="A392" s="226"/>
      <c r="B392" s="226"/>
      <c r="C392" s="226"/>
      <c r="D392" s="226"/>
      <c r="E392" s="226"/>
      <c r="F392" s="226"/>
      <c r="G392" s="226"/>
      <c r="H392" s="226"/>
      <c r="I392" s="226"/>
      <c r="J392" s="226"/>
      <c r="K392" s="226"/>
    </row>
    <row r="393" spans="1:11" ht="20.25">
      <c r="A393" s="226"/>
      <c r="B393" s="226"/>
      <c r="C393" s="226"/>
      <c r="D393" s="226"/>
      <c r="E393" s="226"/>
      <c r="F393" s="226"/>
      <c r="G393" s="226"/>
      <c r="H393" s="226"/>
      <c r="I393" s="226"/>
      <c r="J393" s="226"/>
      <c r="K393" s="226"/>
    </row>
    <row r="394" spans="1:11" ht="20.25">
      <c r="A394" s="226"/>
      <c r="B394" s="226"/>
      <c r="C394" s="226"/>
      <c r="D394" s="226"/>
      <c r="E394" s="226"/>
      <c r="F394" s="226"/>
      <c r="G394" s="226"/>
      <c r="H394" s="226"/>
      <c r="I394" s="226"/>
      <c r="J394" s="226"/>
      <c r="K394" s="226"/>
    </row>
    <row r="395" spans="1:11" ht="20.25">
      <c r="A395" s="226"/>
      <c r="B395" s="226"/>
      <c r="C395" s="226"/>
      <c r="D395" s="226"/>
      <c r="E395" s="226"/>
      <c r="F395" s="226"/>
      <c r="G395" s="226"/>
      <c r="H395" s="226"/>
      <c r="I395" s="226"/>
      <c r="J395" s="226"/>
      <c r="K395" s="226"/>
    </row>
    <row r="396" spans="1:11" ht="20.25">
      <c r="A396" s="226"/>
      <c r="B396" s="226"/>
      <c r="C396" s="226"/>
      <c r="D396" s="226"/>
      <c r="E396" s="226"/>
      <c r="F396" s="226"/>
      <c r="G396" s="226"/>
      <c r="H396" s="226"/>
      <c r="I396" s="226"/>
      <c r="J396" s="226"/>
      <c r="K396" s="226"/>
    </row>
    <row r="397" spans="1:11" ht="20.25">
      <c r="A397" s="226"/>
      <c r="B397" s="226"/>
      <c r="C397" s="226"/>
      <c r="D397" s="226"/>
      <c r="E397" s="226"/>
      <c r="F397" s="226"/>
      <c r="G397" s="226"/>
      <c r="H397" s="226"/>
      <c r="I397" s="226"/>
      <c r="J397" s="226"/>
      <c r="K397" s="226"/>
    </row>
    <row r="398" spans="1:11" ht="20.25">
      <c r="A398" s="226"/>
      <c r="B398" s="226"/>
      <c r="C398" s="226"/>
      <c r="D398" s="226"/>
      <c r="E398" s="226"/>
      <c r="F398" s="226"/>
      <c r="G398" s="226"/>
      <c r="H398" s="226"/>
      <c r="I398" s="226"/>
      <c r="J398" s="226"/>
      <c r="K398" s="226"/>
    </row>
    <row r="399" spans="1:11" ht="20.25">
      <c r="A399" s="226"/>
      <c r="B399" s="226"/>
      <c r="C399" s="226"/>
      <c r="D399" s="226"/>
      <c r="E399" s="226"/>
      <c r="F399" s="226"/>
      <c r="G399" s="226"/>
      <c r="H399" s="226"/>
      <c r="I399" s="226"/>
      <c r="J399" s="226"/>
      <c r="K399" s="226"/>
    </row>
    <row r="400" spans="1:11" ht="20.25">
      <c r="A400" s="226"/>
      <c r="B400" s="226"/>
      <c r="C400" s="226"/>
      <c r="D400" s="226"/>
      <c r="E400" s="226"/>
      <c r="F400" s="226"/>
      <c r="G400" s="226"/>
      <c r="H400" s="226"/>
      <c r="I400" s="226"/>
      <c r="J400" s="226"/>
      <c r="K400" s="226"/>
    </row>
    <row r="401" spans="1:11" ht="20.25">
      <c r="A401" s="226"/>
      <c r="B401" s="226"/>
      <c r="C401" s="226"/>
      <c r="D401" s="226"/>
      <c r="E401" s="226"/>
      <c r="F401" s="226"/>
      <c r="G401" s="226"/>
      <c r="H401" s="226"/>
      <c r="I401" s="226"/>
      <c r="J401" s="226"/>
      <c r="K401" s="226"/>
    </row>
    <row r="402" spans="1:11" ht="20.25">
      <c r="A402" s="226"/>
      <c r="B402" s="226"/>
      <c r="C402" s="226"/>
      <c r="D402" s="226"/>
      <c r="E402" s="226"/>
      <c r="F402" s="226"/>
      <c r="G402" s="226"/>
      <c r="H402" s="226"/>
      <c r="I402" s="226"/>
      <c r="J402" s="226"/>
      <c r="K402" s="226"/>
    </row>
    <row r="403" spans="1:11" ht="20.25">
      <c r="A403" s="226"/>
      <c r="B403" s="226"/>
      <c r="C403" s="226"/>
      <c r="D403" s="226"/>
      <c r="E403" s="226"/>
      <c r="F403" s="226"/>
      <c r="G403" s="226"/>
      <c r="H403" s="226"/>
      <c r="I403" s="226"/>
      <c r="J403" s="226"/>
      <c r="K403" s="226"/>
    </row>
    <row r="404" spans="1:11" ht="20.25">
      <c r="A404" s="226"/>
      <c r="B404" s="226"/>
      <c r="C404" s="226"/>
      <c r="D404" s="226"/>
      <c r="E404" s="226"/>
      <c r="F404" s="226"/>
      <c r="G404" s="226"/>
      <c r="H404" s="226"/>
      <c r="I404" s="226"/>
      <c r="J404" s="226"/>
      <c r="K404" s="226"/>
    </row>
    <row r="405" spans="1:11" ht="20.25">
      <c r="A405" s="226"/>
      <c r="B405" s="226"/>
      <c r="C405" s="226"/>
      <c r="D405" s="226"/>
      <c r="E405" s="226"/>
      <c r="F405" s="226"/>
      <c r="G405" s="226"/>
      <c r="H405" s="226"/>
      <c r="I405" s="226"/>
      <c r="J405" s="226"/>
      <c r="K405" s="226"/>
    </row>
    <row r="406" spans="1:11" ht="20.25">
      <c r="A406" s="226"/>
      <c r="B406" s="226"/>
      <c r="C406" s="226"/>
      <c r="D406" s="226"/>
      <c r="E406" s="226"/>
      <c r="F406" s="226"/>
      <c r="G406" s="226"/>
      <c r="H406" s="226"/>
      <c r="I406" s="226"/>
      <c r="J406" s="226"/>
      <c r="K406" s="226"/>
    </row>
    <row r="407" spans="1:11" ht="20.25">
      <c r="A407" s="226"/>
      <c r="B407" s="226"/>
      <c r="C407" s="226"/>
      <c r="D407" s="226"/>
      <c r="E407" s="226"/>
      <c r="F407" s="226"/>
      <c r="G407" s="226"/>
      <c r="H407" s="226"/>
      <c r="I407" s="226"/>
      <c r="J407" s="226"/>
      <c r="K407" s="226"/>
    </row>
    <row r="408" spans="1:11" ht="20.25">
      <c r="A408" s="226"/>
      <c r="B408" s="226"/>
      <c r="C408" s="226"/>
      <c r="D408" s="226"/>
      <c r="E408" s="226"/>
      <c r="F408" s="226"/>
      <c r="G408" s="226"/>
      <c r="H408" s="226"/>
      <c r="I408" s="226"/>
      <c r="J408" s="226"/>
      <c r="K408" s="226"/>
    </row>
    <row r="409" spans="1:11" ht="20.25">
      <c r="A409" s="226"/>
      <c r="B409" s="226"/>
      <c r="C409" s="226"/>
      <c r="D409" s="226"/>
      <c r="E409" s="226"/>
      <c r="F409" s="226"/>
      <c r="G409" s="226"/>
      <c r="H409" s="226"/>
      <c r="I409" s="226"/>
      <c r="J409" s="226"/>
      <c r="K409" s="226"/>
    </row>
    <row r="410" spans="1:11" ht="20.25">
      <c r="A410" s="226"/>
      <c r="B410" s="226"/>
      <c r="C410" s="226"/>
      <c r="D410" s="226"/>
      <c r="E410" s="226"/>
      <c r="F410" s="226"/>
      <c r="G410" s="226"/>
      <c r="H410" s="226"/>
      <c r="I410" s="226"/>
      <c r="J410" s="226"/>
      <c r="K410" s="226"/>
    </row>
    <row r="411" spans="1:11" ht="20.25">
      <c r="A411" s="226"/>
      <c r="B411" s="226"/>
      <c r="C411" s="226"/>
      <c r="D411" s="226"/>
      <c r="E411" s="226"/>
      <c r="F411" s="226"/>
      <c r="G411" s="226"/>
      <c r="H411" s="226"/>
      <c r="I411" s="226"/>
      <c r="J411" s="226"/>
      <c r="K411" s="226"/>
    </row>
    <row r="412" spans="1:11" ht="20.25">
      <c r="A412" s="226"/>
      <c r="B412" s="226"/>
      <c r="C412" s="226"/>
      <c r="D412" s="226"/>
      <c r="E412" s="226"/>
      <c r="F412" s="226"/>
      <c r="G412" s="226"/>
      <c r="H412" s="226"/>
      <c r="I412" s="226"/>
      <c r="J412" s="226"/>
      <c r="K412" s="226"/>
    </row>
    <row r="413" spans="1:11" ht="20.25">
      <c r="A413" s="226"/>
      <c r="B413" s="226"/>
      <c r="C413" s="226"/>
      <c r="D413" s="226"/>
      <c r="E413" s="226"/>
      <c r="F413" s="226"/>
      <c r="G413" s="226"/>
      <c r="H413" s="226"/>
      <c r="I413" s="226"/>
      <c r="J413" s="226"/>
      <c r="K413" s="226"/>
    </row>
    <row r="414" spans="1:11" ht="20.25">
      <c r="A414" s="226"/>
      <c r="B414" s="226"/>
      <c r="C414" s="226"/>
      <c r="D414" s="226"/>
      <c r="E414" s="226"/>
      <c r="F414" s="226"/>
      <c r="G414" s="226"/>
      <c r="H414" s="226"/>
      <c r="I414" s="226"/>
      <c r="J414" s="226"/>
      <c r="K414" s="226"/>
    </row>
    <row r="415" spans="1:11" ht="20.25">
      <c r="A415" s="226"/>
      <c r="B415" s="226"/>
      <c r="C415" s="226"/>
      <c r="D415" s="226"/>
      <c r="E415" s="226"/>
      <c r="F415" s="226"/>
      <c r="G415" s="226"/>
      <c r="H415" s="226"/>
      <c r="I415" s="226"/>
      <c r="J415" s="226"/>
      <c r="K415" s="226"/>
    </row>
    <row r="416" spans="1:11" ht="20.25">
      <c r="A416" s="226"/>
      <c r="B416" s="226"/>
      <c r="C416" s="226"/>
      <c r="D416" s="226"/>
      <c r="E416" s="226"/>
      <c r="F416" s="226"/>
      <c r="G416" s="226"/>
      <c r="H416" s="226"/>
      <c r="I416" s="226"/>
      <c r="J416" s="226"/>
      <c r="K416" s="226"/>
    </row>
    <row r="417" spans="1:11" ht="20.25">
      <c r="A417" s="226"/>
      <c r="B417" s="226"/>
      <c r="C417" s="226"/>
      <c r="D417" s="226"/>
      <c r="E417" s="226"/>
      <c r="F417" s="226"/>
      <c r="G417" s="226"/>
      <c r="H417" s="226"/>
      <c r="I417" s="226"/>
      <c r="J417" s="226"/>
      <c r="K417" s="226"/>
    </row>
    <row r="418" spans="1:11" ht="20.25">
      <c r="A418" s="226"/>
      <c r="B418" s="226"/>
      <c r="C418" s="226"/>
      <c r="D418" s="226"/>
      <c r="E418" s="226"/>
      <c r="F418" s="226"/>
      <c r="G418" s="226"/>
      <c r="H418" s="226"/>
      <c r="I418" s="226"/>
      <c r="J418" s="226"/>
      <c r="K418" s="226"/>
    </row>
    <row r="419" spans="1:11" ht="20.25">
      <c r="A419" s="226"/>
      <c r="B419" s="226"/>
      <c r="C419" s="226"/>
      <c r="D419" s="226"/>
      <c r="E419" s="226"/>
      <c r="F419" s="226"/>
      <c r="G419" s="226"/>
      <c r="H419" s="226"/>
      <c r="I419" s="226"/>
      <c r="J419" s="226"/>
      <c r="K419" s="226"/>
    </row>
    <row r="420" spans="1:11" ht="20.25">
      <c r="A420" s="226"/>
      <c r="B420" s="226"/>
      <c r="C420" s="226"/>
      <c r="D420" s="226"/>
      <c r="E420" s="226"/>
      <c r="F420" s="226"/>
      <c r="G420" s="226"/>
      <c r="H420" s="226"/>
      <c r="I420" s="226"/>
      <c r="J420" s="226"/>
      <c r="K420" s="226"/>
    </row>
    <row r="421" spans="1:11" ht="20.25">
      <c r="A421" s="226"/>
      <c r="B421" s="226"/>
      <c r="C421" s="226"/>
      <c r="D421" s="226"/>
      <c r="E421" s="226"/>
      <c r="F421" s="226"/>
      <c r="G421" s="226"/>
      <c r="H421" s="226"/>
      <c r="I421" s="226"/>
      <c r="J421" s="226"/>
      <c r="K421" s="226"/>
    </row>
    <row r="422" spans="1:11" ht="20.25">
      <c r="A422" s="226"/>
      <c r="B422" s="226"/>
      <c r="C422" s="226"/>
      <c r="D422" s="226"/>
      <c r="E422" s="226"/>
      <c r="F422" s="226"/>
      <c r="G422" s="226"/>
      <c r="H422" s="226"/>
      <c r="I422" s="226"/>
      <c r="J422" s="226"/>
      <c r="K422" s="226"/>
    </row>
    <row r="423" spans="1:11" ht="20.25">
      <c r="A423" s="226"/>
      <c r="B423" s="226"/>
      <c r="C423" s="226"/>
      <c r="D423" s="226"/>
      <c r="E423" s="226"/>
      <c r="F423" s="226"/>
      <c r="G423" s="226"/>
      <c r="H423" s="226"/>
      <c r="I423" s="226"/>
      <c r="J423" s="226"/>
      <c r="K423" s="226"/>
    </row>
    <row r="424" spans="1:11" ht="20.25">
      <c r="A424" s="226"/>
      <c r="B424" s="226"/>
      <c r="C424" s="226"/>
      <c r="D424" s="226"/>
      <c r="E424" s="226"/>
      <c r="F424" s="226"/>
      <c r="G424" s="226"/>
      <c r="H424" s="226"/>
      <c r="I424" s="226"/>
      <c r="J424" s="226"/>
      <c r="K424" s="226"/>
    </row>
    <row r="425" spans="1:11" ht="20.25">
      <c r="A425" s="226"/>
      <c r="B425" s="226"/>
      <c r="C425" s="226"/>
      <c r="D425" s="226"/>
      <c r="E425" s="226"/>
      <c r="F425" s="226"/>
      <c r="G425" s="226"/>
      <c r="H425" s="226"/>
      <c r="I425" s="226"/>
      <c r="J425" s="226"/>
      <c r="K425" s="226"/>
    </row>
    <row r="426" spans="1:11" ht="20.25">
      <c r="A426" s="226"/>
      <c r="B426" s="226"/>
      <c r="C426" s="226"/>
      <c r="D426" s="226"/>
      <c r="E426" s="226"/>
      <c r="F426" s="226"/>
      <c r="G426" s="226"/>
      <c r="H426" s="226"/>
      <c r="I426" s="226"/>
      <c r="J426" s="226"/>
      <c r="K426" s="226"/>
    </row>
    <row r="427" spans="1:11" ht="20.25">
      <c r="A427" s="226"/>
      <c r="B427" s="226"/>
      <c r="C427" s="226"/>
      <c r="D427" s="226"/>
      <c r="E427" s="226"/>
      <c r="F427" s="226"/>
      <c r="G427" s="226"/>
      <c r="H427" s="226"/>
      <c r="I427" s="226"/>
      <c r="J427" s="226"/>
      <c r="K427" s="226"/>
    </row>
    <row r="428" spans="1:11" ht="20.25">
      <c r="A428" s="226"/>
      <c r="B428" s="226"/>
      <c r="C428" s="226"/>
      <c r="D428" s="226"/>
      <c r="E428" s="226"/>
      <c r="F428" s="226"/>
      <c r="G428" s="226"/>
      <c r="H428" s="226"/>
      <c r="I428" s="226"/>
      <c r="J428" s="226"/>
      <c r="K428" s="226"/>
    </row>
    <row r="429" spans="1:11" ht="20.25">
      <c r="A429" s="226"/>
      <c r="B429" s="226"/>
      <c r="C429" s="226"/>
      <c r="D429" s="226"/>
      <c r="E429" s="226"/>
      <c r="F429" s="226"/>
      <c r="G429" s="226"/>
      <c r="H429" s="226"/>
      <c r="I429" s="226"/>
      <c r="J429" s="226"/>
      <c r="K429" s="226"/>
    </row>
    <row r="430" spans="1:11" ht="20.25">
      <c r="A430" s="226"/>
      <c r="B430" s="226"/>
      <c r="C430" s="226"/>
      <c r="D430" s="226"/>
      <c r="E430" s="226"/>
      <c r="F430" s="226"/>
      <c r="G430" s="226"/>
      <c r="H430" s="226"/>
      <c r="I430" s="226"/>
      <c r="J430" s="226"/>
      <c r="K430" s="226"/>
    </row>
    <row r="431" spans="1:11" ht="20.25">
      <c r="A431" s="226"/>
      <c r="B431" s="226"/>
      <c r="C431" s="226"/>
      <c r="D431" s="226"/>
      <c r="E431" s="226"/>
      <c r="F431" s="226"/>
      <c r="G431" s="226"/>
      <c r="H431" s="226"/>
      <c r="I431" s="226"/>
      <c r="J431" s="226"/>
      <c r="K431" s="226"/>
    </row>
    <row r="432" spans="1:11" ht="20.25">
      <c r="A432" s="226"/>
      <c r="B432" s="226"/>
      <c r="C432" s="226"/>
      <c r="D432" s="226"/>
      <c r="E432" s="226"/>
      <c r="F432" s="226"/>
      <c r="G432" s="226"/>
      <c r="H432" s="226"/>
      <c r="I432" s="226"/>
      <c r="J432" s="226"/>
      <c r="K432" s="226"/>
    </row>
    <row r="433" spans="1:11" ht="20.25">
      <c r="A433" s="226"/>
      <c r="B433" s="226"/>
      <c r="C433" s="226"/>
      <c r="D433" s="226"/>
      <c r="E433" s="226"/>
      <c r="F433" s="226"/>
      <c r="G433" s="226"/>
      <c r="H433" s="226"/>
      <c r="I433" s="226"/>
      <c r="J433" s="226"/>
      <c r="K433" s="226"/>
    </row>
    <row r="434" spans="1:11" ht="20.25">
      <c r="A434" s="226"/>
      <c r="B434" s="226"/>
      <c r="C434" s="226"/>
      <c r="D434" s="226"/>
      <c r="E434" s="226"/>
      <c r="F434" s="226"/>
      <c r="G434" s="226"/>
      <c r="H434" s="226"/>
      <c r="I434" s="226"/>
      <c r="J434" s="226"/>
      <c r="K434" s="226"/>
    </row>
    <row r="435" spans="1:11" ht="20.25">
      <c r="A435" s="226"/>
      <c r="B435" s="226"/>
      <c r="C435" s="226"/>
      <c r="D435" s="226"/>
      <c r="E435" s="226"/>
      <c r="F435" s="226"/>
      <c r="G435" s="226"/>
      <c r="H435" s="226"/>
      <c r="I435" s="226"/>
      <c r="J435" s="226"/>
      <c r="K435" s="226"/>
    </row>
    <row r="436" spans="1:11" ht="20.25">
      <c r="A436" s="226"/>
      <c r="B436" s="226"/>
      <c r="C436" s="226"/>
      <c r="D436" s="226"/>
      <c r="E436" s="226"/>
      <c r="F436" s="226"/>
      <c r="G436" s="226"/>
      <c r="H436" s="226"/>
      <c r="I436" s="226"/>
      <c r="J436" s="226"/>
      <c r="K436" s="226"/>
    </row>
    <row r="437" spans="1:11" ht="20.25">
      <c r="A437" s="226"/>
      <c r="B437" s="226"/>
      <c r="C437" s="226"/>
      <c r="D437" s="226"/>
      <c r="E437" s="226"/>
      <c r="F437" s="226"/>
      <c r="G437" s="226"/>
      <c r="H437" s="226"/>
      <c r="I437" s="226"/>
      <c r="J437" s="226"/>
      <c r="K437" s="226"/>
    </row>
    <row r="438" spans="1:11" ht="20.25">
      <c r="A438" s="226"/>
      <c r="B438" s="226"/>
      <c r="C438" s="226"/>
      <c r="D438" s="226"/>
      <c r="E438" s="226"/>
      <c r="F438" s="226"/>
      <c r="G438" s="226"/>
      <c r="H438" s="226"/>
      <c r="I438" s="226"/>
      <c r="J438" s="226"/>
      <c r="K438" s="226"/>
    </row>
    <row r="439" spans="1:11" ht="20.25">
      <c r="A439" s="226"/>
      <c r="B439" s="226"/>
      <c r="C439" s="226"/>
      <c r="D439" s="226"/>
      <c r="E439" s="226"/>
      <c r="F439" s="226"/>
      <c r="G439" s="226"/>
      <c r="H439" s="226"/>
      <c r="I439" s="226"/>
      <c r="J439" s="226"/>
      <c r="K439" s="226"/>
    </row>
    <row r="440" spans="1:11" ht="20.25">
      <c r="A440" s="226"/>
      <c r="B440" s="226"/>
      <c r="C440" s="226"/>
      <c r="D440" s="226"/>
      <c r="E440" s="226"/>
      <c r="F440" s="226"/>
      <c r="G440" s="226"/>
      <c r="H440" s="226"/>
      <c r="I440" s="226"/>
      <c r="J440" s="226"/>
      <c r="K440" s="226"/>
    </row>
    <row r="441" spans="1:11" ht="20.25">
      <c r="A441" s="226"/>
      <c r="B441" s="226"/>
      <c r="C441" s="226"/>
      <c r="D441" s="226"/>
      <c r="E441" s="226"/>
      <c r="F441" s="226"/>
      <c r="G441" s="226"/>
      <c r="H441" s="226"/>
      <c r="I441" s="226"/>
      <c r="J441" s="226"/>
      <c r="K441" s="226"/>
    </row>
    <row r="442" spans="1:11" ht="20.25">
      <c r="A442" s="226"/>
      <c r="B442" s="226"/>
      <c r="C442" s="226"/>
      <c r="D442" s="226"/>
      <c r="E442" s="226"/>
      <c r="F442" s="226"/>
      <c r="G442" s="226"/>
      <c r="H442" s="226"/>
      <c r="I442" s="226"/>
      <c r="J442" s="226"/>
      <c r="K442" s="226"/>
    </row>
    <row r="443" spans="1:11" ht="20.25">
      <c r="A443" s="226"/>
      <c r="B443" s="226"/>
      <c r="C443" s="226"/>
      <c r="D443" s="226"/>
      <c r="E443" s="226"/>
      <c r="F443" s="226"/>
      <c r="G443" s="226"/>
      <c r="H443" s="226"/>
      <c r="I443" s="226"/>
      <c r="J443" s="226"/>
      <c r="K443" s="226"/>
    </row>
    <row r="444" spans="1:11" ht="20.25">
      <c r="A444" s="226"/>
      <c r="B444" s="226"/>
      <c r="C444" s="226"/>
      <c r="D444" s="226"/>
      <c r="E444" s="226"/>
      <c r="F444" s="226"/>
      <c r="G444" s="226"/>
      <c r="H444" s="226"/>
      <c r="I444" s="226"/>
      <c r="J444" s="226"/>
      <c r="K444" s="226"/>
    </row>
    <row r="445" spans="1:11" ht="20.25">
      <c r="A445" s="226"/>
      <c r="B445" s="226"/>
      <c r="C445" s="226"/>
      <c r="D445" s="226"/>
      <c r="E445" s="226"/>
      <c r="F445" s="226"/>
      <c r="G445" s="226"/>
      <c r="H445" s="226"/>
      <c r="I445" s="226"/>
      <c r="J445" s="226"/>
      <c r="K445" s="226"/>
    </row>
    <row r="446" spans="1:11" ht="20.25">
      <c r="A446" s="226"/>
      <c r="B446" s="226"/>
      <c r="C446" s="226"/>
      <c r="D446" s="226"/>
      <c r="E446" s="226"/>
      <c r="F446" s="226"/>
      <c r="G446" s="226"/>
      <c r="H446" s="226"/>
      <c r="I446" s="226"/>
      <c r="J446" s="226"/>
      <c r="K446" s="226"/>
    </row>
    <row r="447" spans="1:11" ht="20.25">
      <c r="A447" s="226"/>
      <c r="B447" s="226"/>
      <c r="C447" s="226"/>
      <c r="D447" s="226"/>
      <c r="E447" s="226"/>
      <c r="F447" s="226"/>
      <c r="G447" s="226"/>
      <c r="H447" s="226"/>
      <c r="I447" s="226"/>
      <c r="J447" s="226"/>
      <c r="K447" s="226"/>
    </row>
    <row r="448" spans="1:11" ht="20.25">
      <c r="A448" s="226"/>
      <c r="B448" s="226"/>
      <c r="C448" s="226"/>
      <c r="D448" s="226"/>
      <c r="E448" s="226"/>
      <c r="F448" s="226"/>
      <c r="G448" s="226"/>
      <c r="H448" s="226"/>
      <c r="I448" s="226"/>
      <c r="J448" s="226"/>
      <c r="K448" s="226"/>
    </row>
    <row r="449" spans="1:11" ht="20.25">
      <c r="A449" s="226"/>
      <c r="B449" s="226"/>
      <c r="C449" s="226"/>
      <c r="D449" s="226"/>
      <c r="E449" s="226"/>
      <c r="F449" s="226"/>
      <c r="G449" s="226"/>
      <c r="H449" s="226"/>
      <c r="I449" s="226"/>
      <c r="J449" s="226"/>
      <c r="K449" s="226"/>
    </row>
    <row r="450" spans="1:11" ht="20.25">
      <c r="A450" s="226"/>
      <c r="B450" s="226"/>
      <c r="C450" s="226"/>
      <c r="D450" s="226"/>
      <c r="E450" s="226"/>
      <c r="F450" s="226"/>
      <c r="G450" s="226"/>
      <c r="H450" s="226"/>
      <c r="I450" s="226"/>
      <c r="J450" s="226"/>
      <c r="K450" s="226"/>
    </row>
    <row r="451" spans="1:11" ht="20.25">
      <c r="A451" s="226"/>
      <c r="B451" s="226"/>
      <c r="C451" s="226"/>
      <c r="D451" s="226"/>
      <c r="E451" s="226"/>
      <c r="F451" s="226"/>
      <c r="G451" s="226"/>
      <c r="H451" s="226"/>
      <c r="I451" s="226"/>
      <c r="J451" s="226"/>
      <c r="K451" s="226"/>
    </row>
    <row r="452" spans="1:11" ht="20.25">
      <c r="A452" s="226"/>
      <c r="B452" s="226"/>
      <c r="C452" s="226"/>
      <c r="D452" s="226"/>
      <c r="E452" s="226"/>
      <c r="F452" s="226"/>
      <c r="G452" s="226"/>
      <c r="H452" s="226"/>
      <c r="I452" s="226"/>
      <c r="J452" s="226"/>
      <c r="K452" s="226"/>
    </row>
    <row r="453" spans="1:11" ht="20.25">
      <c r="A453" s="226"/>
      <c r="B453" s="226"/>
      <c r="C453" s="226"/>
      <c r="D453" s="226"/>
      <c r="E453" s="226"/>
      <c r="F453" s="226"/>
      <c r="G453" s="226"/>
      <c r="H453" s="226"/>
      <c r="I453" s="226"/>
      <c r="J453" s="226"/>
      <c r="K453" s="226"/>
    </row>
    <row r="454" spans="1:11" ht="20.25">
      <c r="A454" s="226"/>
      <c r="B454" s="226"/>
      <c r="C454" s="226"/>
      <c r="D454" s="226"/>
      <c r="E454" s="226"/>
      <c r="F454" s="226"/>
      <c r="G454" s="226"/>
      <c r="H454" s="226"/>
      <c r="I454" s="226"/>
      <c r="J454" s="226"/>
      <c r="K454" s="226"/>
    </row>
    <row r="455" spans="1:11" ht="20.25">
      <c r="A455" s="226"/>
      <c r="B455" s="226"/>
      <c r="C455" s="226"/>
      <c r="D455" s="226"/>
      <c r="E455" s="226"/>
      <c r="F455" s="226"/>
      <c r="G455" s="226"/>
      <c r="H455" s="226"/>
      <c r="I455" s="226"/>
      <c r="J455" s="226"/>
      <c r="K455" s="226"/>
    </row>
    <row r="456" spans="1:11" ht="20.25">
      <c r="A456" s="226"/>
      <c r="B456" s="226"/>
      <c r="C456" s="226"/>
      <c r="D456" s="226"/>
      <c r="E456" s="226"/>
      <c r="F456" s="226"/>
      <c r="G456" s="226"/>
      <c r="H456" s="226"/>
      <c r="I456" s="226"/>
      <c r="J456" s="226"/>
      <c r="K456" s="226"/>
    </row>
    <row r="457" spans="1:11" ht="20.25">
      <c r="A457" s="226"/>
      <c r="B457" s="226"/>
      <c r="C457" s="226"/>
      <c r="D457" s="226"/>
      <c r="E457" s="226"/>
      <c r="F457" s="226"/>
      <c r="G457" s="226"/>
      <c r="H457" s="226"/>
      <c r="I457" s="226"/>
      <c r="J457" s="226"/>
      <c r="K457" s="226"/>
    </row>
    <row r="458" spans="1:11" ht="20.25">
      <c r="A458" s="226"/>
      <c r="B458" s="226"/>
      <c r="C458" s="226"/>
      <c r="D458" s="226"/>
      <c r="E458" s="226"/>
      <c r="F458" s="226"/>
      <c r="G458" s="226"/>
      <c r="H458" s="226"/>
      <c r="I458" s="226"/>
      <c r="J458" s="226"/>
      <c r="K458" s="226"/>
    </row>
    <row r="459" spans="1:11" ht="20.25">
      <c r="A459" s="226"/>
      <c r="B459" s="226"/>
      <c r="C459" s="226"/>
      <c r="D459" s="226"/>
      <c r="E459" s="226"/>
      <c r="F459" s="226"/>
      <c r="G459" s="226"/>
      <c r="H459" s="226"/>
      <c r="I459" s="226"/>
      <c r="J459" s="226"/>
      <c r="K459" s="226"/>
    </row>
    <row r="460" spans="1:11" ht="20.25">
      <c r="A460" s="226"/>
      <c r="B460" s="226"/>
      <c r="C460" s="226"/>
      <c r="D460" s="226"/>
      <c r="E460" s="226"/>
      <c r="F460" s="226"/>
      <c r="G460" s="226"/>
      <c r="H460" s="226"/>
      <c r="I460" s="226"/>
      <c r="J460" s="226"/>
      <c r="K460" s="226"/>
    </row>
    <row r="461" spans="1:11" ht="20.25">
      <c r="A461" s="226"/>
      <c r="B461" s="226"/>
      <c r="C461" s="226"/>
      <c r="D461" s="226"/>
      <c r="E461" s="226"/>
      <c r="F461" s="226"/>
      <c r="G461" s="226"/>
      <c r="H461" s="226"/>
      <c r="I461" s="226"/>
      <c r="J461" s="226"/>
      <c r="K461" s="226"/>
    </row>
    <row r="462" spans="1:11" ht="20.25">
      <c r="A462" s="226"/>
      <c r="B462" s="226"/>
      <c r="C462" s="226"/>
      <c r="D462" s="226"/>
      <c r="E462" s="226"/>
      <c r="F462" s="226"/>
      <c r="G462" s="226"/>
      <c r="H462" s="226"/>
      <c r="I462" s="226"/>
      <c r="J462" s="226"/>
      <c r="K462" s="226"/>
    </row>
    <row r="463" spans="1:11" ht="20.25">
      <c r="A463" s="226"/>
      <c r="B463" s="226"/>
      <c r="C463" s="226"/>
      <c r="D463" s="226"/>
      <c r="E463" s="226"/>
      <c r="F463" s="226"/>
      <c r="G463" s="226"/>
      <c r="H463" s="226"/>
      <c r="I463" s="226"/>
      <c r="J463" s="226"/>
      <c r="K463" s="226"/>
    </row>
    <row r="464" spans="1:11" ht="20.25">
      <c r="A464" s="226"/>
      <c r="B464" s="226"/>
      <c r="C464" s="226"/>
      <c r="D464" s="226"/>
      <c r="E464" s="226"/>
      <c r="F464" s="226"/>
      <c r="G464" s="226"/>
      <c r="H464" s="226"/>
      <c r="I464" s="226"/>
      <c r="J464" s="226"/>
      <c r="K464" s="226"/>
    </row>
    <row r="465" spans="1:11" ht="20.25">
      <c r="A465" s="226"/>
      <c r="B465" s="226"/>
      <c r="C465" s="226"/>
      <c r="D465" s="226"/>
      <c r="E465" s="226"/>
      <c r="F465" s="226"/>
      <c r="G465" s="226"/>
      <c r="H465" s="226"/>
      <c r="I465" s="226"/>
      <c r="J465" s="226"/>
      <c r="K465" s="226"/>
    </row>
    <row r="466" spans="1:11" ht="20.25">
      <c r="A466" s="226"/>
      <c r="B466" s="226"/>
      <c r="C466" s="226"/>
      <c r="D466" s="226"/>
      <c r="E466" s="226"/>
      <c r="F466" s="226"/>
      <c r="G466" s="226"/>
      <c r="H466" s="226"/>
      <c r="I466" s="226"/>
      <c r="J466" s="226"/>
      <c r="K466" s="226"/>
    </row>
    <row r="467" spans="1:11" ht="20.25">
      <c r="A467" s="226"/>
      <c r="B467" s="226"/>
      <c r="C467" s="226"/>
      <c r="D467" s="226"/>
      <c r="E467" s="226"/>
      <c r="F467" s="226"/>
      <c r="G467" s="226"/>
      <c r="H467" s="226"/>
      <c r="I467" s="226"/>
      <c r="J467" s="226"/>
      <c r="K467" s="226"/>
    </row>
    <row r="468" spans="1:11" ht="20.25">
      <c r="A468" s="226"/>
      <c r="B468" s="226"/>
      <c r="C468" s="226"/>
      <c r="D468" s="226"/>
      <c r="E468" s="226"/>
      <c r="F468" s="226"/>
      <c r="G468" s="226"/>
      <c r="H468" s="226"/>
      <c r="I468" s="226"/>
      <c r="J468" s="226"/>
      <c r="K468" s="226"/>
    </row>
    <row r="469" spans="1:11" ht="20.25">
      <c r="A469" s="226"/>
      <c r="B469" s="226"/>
      <c r="C469" s="226"/>
      <c r="D469" s="226"/>
      <c r="E469" s="226"/>
      <c r="F469" s="226"/>
      <c r="G469" s="226"/>
      <c r="H469" s="226"/>
      <c r="I469" s="226"/>
      <c r="J469" s="226"/>
      <c r="K469" s="226"/>
    </row>
    <row r="470" spans="1:11" ht="20.25">
      <c r="A470" s="226"/>
      <c r="B470" s="226"/>
      <c r="C470" s="226"/>
      <c r="D470" s="226"/>
      <c r="E470" s="226"/>
      <c r="F470" s="226"/>
      <c r="G470" s="226"/>
      <c r="H470" s="226"/>
      <c r="I470" s="226"/>
      <c r="J470" s="226"/>
      <c r="K470" s="226"/>
    </row>
    <row r="471" spans="1:11" ht="20.25">
      <c r="A471" s="226"/>
      <c r="B471" s="226"/>
      <c r="C471" s="226"/>
      <c r="D471" s="226"/>
      <c r="E471" s="226"/>
      <c r="F471" s="226"/>
      <c r="G471" s="226"/>
      <c r="H471" s="226"/>
      <c r="I471" s="226"/>
      <c r="J471" s="226"/>
      <c r="K471" s="226"/>
    </row>
    <row r="472" spans="1:11" ht="20.25">
      <c r="A472" s="226"/>
      <c r="B472" s="226"/>
      <c r="C472" s="226"/>
      <c r="D472" s="226"/>
      <c r="E472" s="226"/>
      <c r="F472" s="226"/>
      <c r="G472" s="226"/>
      <c r="H472" s="226"/>
      <c r="I472" s="226"/>
      <c r="J472" s="226"/>
      <c r="K472" s="226"/>
    </row>
    <row r="473" spans="1:11" ht="20.25">
      <c r="A473" s="226"/>
      <c r="B473" s="226"/>
      <c r="C473" s="226"/>
      <c r="D473" s="226"/>
      <c r="E473" s="226"/>
      <c r="F473" s="226"/>
      <c r="G473" s="226"/>
      <c r="H473" s="226"/>
      <c r="I473" s="226"/>
      <c r="J473" s="226"/>
      <c r="K473" s="226"/>
    </row>
    <row r="474" spans="1:11" ht="20.25">
      <c r="A474" s="226"/>
      <c r="B474" s="226"/>
      <c r="C474" s="226"/>
      <c r="D474" s="226"/>
      <c r="E474" s="226"/>
      <c r="F474" s="226"/>
      <c r="G474" s="226"/>
      <c r="H474" s="226"/>
      <c r="I474" s="226"/>
      <c r="J474" s="226"/>
      <c r="K474" s="226"/>
    </row>
    <row r="475" spans="1:11" ht="20.25">
      <c r="A475" s="226"/>
      <c r="B475" s="226"/>
      <c r="C475" s="226"/>
      <c r="D475" s="226"/>
      <c r="E475" s="226"/>
      <c r="F475" s="226"/>
      <c r="G475" s="226"/>
      <c r="H475" s="226"/>
      <c r="I475" s="226"/>
      <c r="J475" s="226"/>
      <c r="K475" s="226"/>
    </row>
    <row r="476" spans="1:11" ht="20.25">
      <c r="A476" s="226"/>
      <c r="B476" s="226"/>
      <c r="C476" s="226"/>
      <c r="D476" s="226"/>
      <c r="E476" s="226"/>
      <c r="F476" s="226"/>
      <c r="G476" s="226"/>
      <c r="H476" s="226"/>
      <c r="I476" s="226"/>
      <c r="J476" s="226"/>
      <c r="K476" s="226"/>
    </row>
    <row r="477" spans="1:11" ht="20.25">
      <c r="A477" s="226"/>
      <c r="B477" s="226"/>
      <c r="C477" s="226"/>
      <c r="D477" s="226"/>
      <c r="E477" s="226"/>
      <c r="F477" s="226"/>
      <c r="G477" s="226"/>
      <c r="H477" s="226"/>
      <c r="I477" s="226"/>
      <c r="J477" s="226"/>
      <c r="K477" s="226"/>
    </row>
    <row r="478" spans="1:11" ht="20.25">
      <c r="A478" s="226"/>
      <c r="B478" s="226"/>
      <c r="C478" s="226"/>
      <c r="D478" s="226"/>
      <c r="E478" s="226"/>
      <c r="F478" s="226"/>
      <c r="G478" s="226"/>
      <c r="H478" s="226"/>
      <c r="I478" s="226"/>
      <c r="J478" s="226"/>
      <c r="K478" s="226"/>
    </row>
    <row r="479" spans="1:11" ht="20.25">
      <c r="A479" s="226"/>
      <c r="B479" s="226"/>
      <c r="C479" s="226"/>
      <c r="D479" s="226"/>
      <c r="E479" s="226"/>
      <c r="F479" s="226"/>
      <c r="G479" s="226"/>
      <c r="H479" s="226"/>
      <c r="I479" s="226"/>
      <c r="J479" s="226"/>
      <c r="K479" s="226"/>
    </row>
    <row r="480" spans="1:11" ht="20.25">
      <c r="A480" s="226"/>
      <c r="B480" s="226"/>
      <c r="C480" s="226"/>
      <c r="D480" s="226"/>
      <c r="E480" s="226"/>
      <c r="F480" s="226"/>
      <c r="G480" s="226"/>
      <c r="H480" s="226"/>
      <c r="I480" s="226"/>
      <c r="J480" s="226"/>
      <c r="K480" s="226"/>
    </row>
    <row r="481" spans="1:11" ht="20.25">
      <c r="A481" s="226"/>
      <c r="B481" s="226"/>
      <c r="C481" s="226"/>
      <c r="D481" s="226"/>
      <c r="E481" s="226"/>
      <c r="F481" s="226"/>
      <c r="G481" s="226"/>
      <c r="H481" s="226"/>
      <c r="I481" s="226"/>
      <c r="J481" s="226"/>
      <c r="K481" s="226"/>
    </row>
    <row r="482" spans="1:11" ht="20.25">
      <c r="A482" s="226"/>
      <c r="B482" s="226"/>
      <c r="C482" s="226"/>
      <c r="D482" s="226"/>
      <c r="E482" s="226"/>
      <c r="F482" s="226"/>
      <c r="G482" s="226"/>
      <c r="H482" s="226"/>
      <c r="I482" s="226"/>
      <c r="J482" s="226"/>
      <c r="K482" s="226"/>
    </row>
    <row r="483" spans="1:11" ht="20.25">
      <c r="A483" s="226"/>
      <c r="B483" s="226"/>
      <c r="C483" s="226"/>
      <c r="D483" s="226"/>
      <c r="E483" s="226"/>
      <c r="F483" s="226"/>
      <c r="G483" s="226"/>
      <c r="H483" s="226"/>
      <c r="I483" s="226"/>
      <c r="J483" s="226"/>
      <c r="K483" s="226"/>
    </row>
    <row r="484" spans="1:11" ht="20.25">
      <c r="A484" s="226"/>
      <c r="B484" s="226"/>
      <c r="C484" s="226"/>
      <c r="D484" s="226"/>
      <c r="E484" s="226"/>
      <c r="F484" s="226"/>
      <c r="G484" s="226"/>
      <c r="H484" s="226"/>
      <c r="I484" s="226"/>
      <c r="J484" s="226"/>
      <c r="K484" s="226"/>
    </row>
    <row r="485" spans="1:11" ht="20.25">
      <c r="A485" s="226"/>
      <c r="B485" s="226"/>
      <c r="C485" s="226"/>
      <c r="D485" s="226"/>
      <c r="E485" s="226"/>
      <c r="F485" s="226"/>
      <c r="G485" s="226"/>
      <c r="H485" s="226"/>
      <c r="I485" s="226"/>
      <c r="J485" s="226"/>
      <c r="K485" s="226"/>
    </row>
    <row r="486" spans="1:11" ht="20.25">
      <c r="A486" s="226"/>
      <c r="B486" s="226"/>
      <c r="C486" s="226"/>
      <c r="D486" s="226"/>
      <c r="E486" s="226"/>
      <c r="F486" s="226"/>
      <c r="G486" s="226"/>
      <c r="H486" s="226"/>
      <c r="I486" s="226"/>
      <c r="J486" s="226"/>
      <c r="K486" s="226"/>
    </row>
    <row r="487" spans="1:11" ht="20.25">
      <c r="A487" s="226"/>
      <c r="B487" s="226"/>
      <c r="C487" s="226"/>
      <c r="D487" s="226"/>
      <c r="E487" s="226"/>
      <c r="F487" s="226"/>
      <c r="G487" s="226"/>
      <c r="H487" s="226"/>
      <c r="I487" s="226"/>
      <c r="J487" s="226"/>
      <c r="K487" s="226"/>
    </row>
    <row r="488" spans="1:11" ht="20.25">
      <c r="A488" s="226"/>
      <c r="B488" s="226"/>
      <c r="C488" s="226"/>
      <c r="D488" s="226"/>
      <c r="E488" s="226"/>
      <c r="F488" s="226"/>
      <c r="G488" s="226"/>
      <c r="H488" s="226"/>
      <c r="I488" s="226"/>
      <c r="J488" s="226"/>
      <c r="K488" s="226"/>
    </row>
    <row r="489" spans="1:11" ht="20.25">
      <c r="A489" s="226"/>
      <c r="B489" s="226"/>
      <c r="C489" s="226"/>
      <c r="D489" s="226"/>
      <c r="E489" s="226"/>
      <c r="F489" s="226"/>
      <c r="G489" s="226"/>
      <c r="H489" s="226"/>
      <c r="I489" s="226"/>
      <c r="J489" s="226"/>
      <c r="K489" s="226"/>
    </row>
    <row r="490" spans="1:11" ht="20.25">
      <c r="A490" s="226"/>
      <c r="B490" s="226"/>
      <c r="C490" s="226"/>
      <c r="D490" s="226"/>
      <c r="E490" s="226"/>
      <c r="F490" s="226"/>
      <c r="G490" s="226"/>
      <c r="H490" s="226"/>
      <c r="I490" s="226"/>
      <c r="J490" s="226"/>
      <c r="K490" s="226"/>
    </row>
    <row r="491" spans="1:11" ht="20.25">
      <c r="A491" s="226"/>
      <c r="B491" s="226"/>
      <c r="C491" s="226"/>
      <c r="D491" s="226"/>
      <c r="E491" s="226"/>
      <c r="F491" s="226"/>
      <c r="G491" s="226"/>
      <c r="H491" s="226"/>
      <c r="I491" s="226"/>
      <c r="J491" s="226"/>
      <c r="K491" s="226"/>
    </row>
    <row r="492" spans="1:11" ht="20.25">
      <c r="A492" s="226"/>
      <c r="B492" s="226"/>
      <c r="C492" s="226"/>
      <c r="D492" s="226"/>
      <c r="E492" s="226"/>
      <c r="F492" s="226"/>
      <c r="G492" s="226"/>
      <c r="H492" s="226"/>
      <c r="I492" s="226"/>
      <c r="J492" s="226"/>
      <c r="K492" s="226"/>
    </row>
    <row r="493" spans="1:11" ht="20.25">
      <c r="A493" s="226"/>
      <c r="B493" s="226"/>
      <c r="C493" s="226"/>
      <c r="D493" s="226"/>
      <c r="E493" s="226"/>
      <c r="F493" s="226"/>
      <c r="G493" s="226"/>
      <c r="H493" s="226"/>
      <c r="I493" s="226"/>
      <c r="J493" s="226"/>
      <c r="K493" s="226"/>
    </row>
    <row r="494" spans="1:11" ht="20.25">
      <c r="A494" s="226"/>
      <c r="B494" s="226"/>
      <c r="C494" s="226"/>
      <c r="D494" s="226"/>
      <c r="E494" s="226"/>
      <c r="F494" s="226"/>
      <c r="G494" s="226"/>
      <c r="H494" s="226"/>
      <c r="I494" s="226"/>
      <c r="J494" s="226"/>
      <c r="K494" s="226"/>
    </row>
    <row r="495" spans="1:11" ht="20.25">
      <c r="A495" s="226"/>
      <c r="B495" s="226"/>
      <c r="C495" s="226"/>
      <c r="D495" s="226"/>
      <c r="E495" s="226"/>
      <c r="F495" s="226"/>
      <c r="G495" s="226"/>
      <c r="H495" s="226"/>
      <c r="I495" s="226"/>
      <c r="J495" s="226"/>
      <c r="K495" s="226"/>
    </row>
    <row r="496" spans="1:11" ht="20.25">
      <c r="A496" s="226"/>
      <c r="B496" s="226"/>
      <c r="C496" s="226"/>
      <c r="D496" s="226"/>
      <c r="E496" s="226"/>
      <c r="F496" s="226"/>
      <c r="G496" s="226"/>
      <c r="H496" s="226"/>
      <c r="I496" s="226"/>
      <c r="J496" s="226"/>
      <c r="K496" s="226"/>
    </row>
    <row r="497" spans="1:11" ht="20.25">
      <c r="A497" s="226"/>
      <c r="B497" s="226"/>
      <c r="C497" s="226"/>
      <c r="D497" s="226"/>
      <c r="E497" s="226"/>
      <c r="F497" s="226"/>
      <c r="G497" s="226"/>
      <c r="H497" s="226"/>
      <c r="I497" s="226"/>
      <c r="J497" s="226"/>
      <c r="K497" s="226"/>
    </row>
    <row r="498" spans="1:11" ht="20.25">
      <c r="A498" s="226"/>
      <c r="B498" s="226"/>
      <c r="C498" s="226"/>
      <c r="D498" s="226"/>
      <c r="E498" s="226"/>
      <c r="F498" s="226"/>
      <c r="G498" s="226"/>
      <c r="H498" s="226"/>
      <c r="I498" s="226"/>
      <c r="J498" s="226"/>
      <c r="K498" s="226"/>
    </row>
    <row r="499" spans="1:11" ht="20.25">
      <c r="A499" s="226"/>
      <c r="B499" s="226"/>
      <c r="C499" s="226"/>
      <c r="D499" s="226"/>
      <c r="E499" s="226"/>
      <c r="F499" s="226"/>
      <c r="G499" s="226"/>
      <c r="H499" s="226"/>
      <c r="I499" s="226"/>
      <c r="J499" s="226"/>
      <c r="K499" s="226"/>
    </row>
    <row r="500" spans="1:11" ht="20.25">
      <c r="A500" s="226"/>
      <c r="B500" s="226"/>
      <c r="C500" s="226"/>
      <c r="D500" s="226"/>
      <c r="E500" s="226"/>
      <c r="F500" s="226"/>
      <c r="G500" s="226"/>
      <c r="H500" s="226"/>
      <c r="I500" s="226"/>
      <c r="J500" s="226"/>
      <c r="K500" s="226"/>
    </row>
    <row r="501" spans="1:11" ht="20.25">
      <c r="A501" s="226"/>
      <c r="B501" s="226"/>
      <c r="C501" s="226"/>
      <c r="D501" s="226"/>
      <c r="E501" s="226"/>
      <c r="F501" s="226"/>
      <c r="G501" s="226"/>
      <c r="H501" s="226"/>
      <c r="I501" s="226"/>
      <c r="J501" s="226"/>
      <c r="K501" s="226"/>
    </row>
    <row r="502" spans="1:11" ht="20.25">
      <c r="A502" s="226"/>
      <c r="B502" s="226"/>
      <c r="C502" s="226"/>
      <c r="D502" s="226"/>
      <c r="E502" s="226"/>
      <c r="F502" s="226"/>
      <c r="G502" s="226"/>
      <c r="H502" s="226"/>
      <c r="I502" s="226"/>
      <c r="J502" s="226"/>
      <c r="K502" s="226"/>
    </row>
    <row r="503" spans="1:11" ht="20.25">
      <c r="A503" s="226"/>
      <c r="B503" s="226"/>
      <c r="C503" s="226"/>
      <c r="D503" s="226"/>
      <c r="E503" s="226"/>
      <c r="F503" s="226"/>
      <c r="G503" s="226"/>
      <c r="H503" s="226"/>
      <c r="I503" s="226"/>
      <c r="J503" s="226"/>
      <c r="K503" s="226"/>
    </row>
    <row r="504" spans="1:11" ht="20.25">
      <c r="A504" s="226"/>
      <c r="B504" s="226"/>
      <c r="C504" s="226"/>
      <c r="D504" s="226"/>
      <c r="E504" s="226"/>
      <c r="F504" s="226"/>
      <c r="G504" s="226"/>
      <c r="H504" s="226"/>
      <c r="I504" s="226"/>
      <c r="J504" s="226"/>
      <c r="K504" s="226"/>
    </row>
    <row r="505" spans="1:11" ht="20.25">
      <c r="A505" s="226"/>
      <c r="B505" s="226"/>
      <c r="C505" s="226"/>
      <c r="D505" s="226"/>
      <c r="E505" s="226"/>
      <c r="F505" s="226"/>
      <c r="G505" s="226"/>
      <c r="H505" s="226"/>
      <c r="I505" s="226"/>
      <c r="J505" s="226"/>
      <c r="K505" s="226"/>
    </row>
    <row r="506" spans="1:11" ht="20.25">
      <c r="A506" s="226"/>
      <c r="B506" s="226"/>
      <c r="C506" s="226"/>
      <c r="D506" s="226"/>
      <c r="E506" s="226"/>
      <c r="F506" s="226"/>
      <c r="G506" s="226"/>
      <c r="H506" s="226"/>
      <c r="I506" s="226"/>
      <c r="J506" s="226"/>
      <c r="K506" s="226"/>
    </row>
    <row r="507" spans="1:11" ht="20.25">
      <c r="A507" s="226"/>
      <c r="B507" s="226"/>
      <c r="C507" s="226"/>
      <c r="D507" s="226"/>
      <c r="E507" s="226"/>
      <c r="F507" s="226"/>
      <c r="G507" s="226"/>
      <c r="H507" s="226"/>
      <c r="I507" s="226"/>
      <c r="J507" s="226"/>
      <c r="K507" s="226"/>
    </row>
    <row r="508" spans="1:11" ht="20.25">
      <c r="A508" s="226"/>
      <c r="B508" s="226"/>
      <c r="C508" s="226"/>
      <c r="D508" s="226"/>
      <c r="E508" s="226"/>
      <c r="F508" s="226"/>
      <c r="G508" s="226"/>
      <c r="H508" s="226"/>
      <c r="I508" s="226"/>
      <c r="J508" s="226"/>
      <c r="K508" s="226"/>
    </row>
    <row r="509" spans="1:11" ht="20.25">
      <c r="A509" s="226"/>
      <c r="B509" s="226"/>
      <c r="C509" s="226"/>
      <c r="D509" s="226"/>
      <c r="E509" s="226"/>
      <c r="F509" s="226"/>
      <c r="G509" s="226"/>
      <c r="H509" s="226"/>
      <c r="I509" s="226"/>
      <c r="J509" s="226"/>
      <c r="K509" s="226"/>
    </row>
    <row r="510" spans="1:11" ht="20.25">
      <c r="A510" s="226"/>
      <c r="B510" s="226"/>
      <c r="C510" s="226"/>
      <c r="D510" s="226"/>
      <c r="E510" s="226"/>
      <c r="F510" s="226"/>
      <c r="G510" s="226"/>
      <c r="H510" s="226"/>
      <c r="I510" s="226"/>
      <c r="J510" s="226"/>
      <c r="K510" s="226"/>
    </row>
    <row r="511" spans="1:11" ht="20.25">
      <c r="A511" s="226"/>
      <c r="B511" s="226"/>
      <c r="C511" s="226"/>
      <c r="D511" s="226"/>
      <c r="E511" s="226"/>
      <c r="F511" s="226"/>
      <c r="G511" s="226"/>
      <c r="H511" s="226"/>
      <c r="I511" s="226"/>
      <c r="J511" s="226"/>
      <c r="K511" s="226"/>
    </row>
    <row r="512" spans="1:11" ht="20.25">
      <c r="A512" s="226"/>
      <c r="B512" s="226"/>
      <c r="C512" s="226"/>
      <c r="D512" s="226"/>
      <c r="E512" s="226"/>
      <c r="F512" s="226"/>
      <c r="G512" s="226"/>
      <c r="H512" s="226"/>
      <c r="I512" s="226"/>
      <c r="J512" s="226"/>
      <c r="K512" s="226"/>
    </row>
    <row r="513" spans="1:11" ht="20.25">
      <c r="A513" s="226"/>
      <c r="B513" s="226"/>
      <c r="C513" s="226"/>
      <c r="D513" s="226"/>
      <c r="E513" s="226"/>
      <c r="F513" s="226"/>
      <c r="G513" s="226"/>
      <c r="H513" s="226"/>
      <c r="I513" s="226"/>
      <c r="J513" s="226"/>
      <c r="K513" s="226"/>
    </row>
    <row r="514" spans="1:11" ht="20.25">
      <c r="A514" s="226"/>
      <c r="B514" s="226"/>
      <c r="C514" s="226"/>
      <c r="D514" s="226"/>
      <c r="E514" s="226"/>
      <c r="F514" s="226"/>
      <c r="G514" s="226"/>
      <c r="H514" s="226"/>
      <c r="I514" s="226"/>
      <c r="J514" s="226"/>
      <c r="K514" s="226"/>
    </row>
    <row r="515" spans="1:11" ht="20.25">
      <c r="A515" s="226"/>
      <c r="B515" s="226"/>
      <c r="C515" s="226"/>
      <c r="D515" s="226"/>
      <c r="E515" s="226"/>
      <c r="F515" s="226"/>
      <c r="G515" s="226"/>
      <c r="H515" s="226"/>
      <c r="I515" s="226"/>
      <c r="J515" s="226"/>
      <c r="K515" s="226"/>
    </row>
    <row r="516" spans="1:11" ht="20.25">
      <c r="A516" s="226"/>
      <c r="B516" s="226"/>
      <c r="C516" s="226"/>
      <c r="D516" s="226"/>
      <c r="E516" s="226"/>
      <c r="F516" s="226"/>
      <c r="G516" s="226"/>
      <c r="H516" s="226"/>
      <c r="I516" s="226"/>
      <c r="J516" s="226"/>
      <c r="K516" s="226"/>
    </row>
    <row r="517" spans="1:11" ht="20.25">
      <c r="A517" s="226"/>
      <c r="B517" s="226"/>
      <c r="C517" s="226"/>
      <c r="D517" s="226"/>
      <c r="E517" s="226"/>
      <c r="F517" s="226"/>
      <c r="G517" s="226"/>
      <c r="H517" s="226"/>
      <c r="I517" s="226"/>
      <c r="J517" s="226"/>
      <c r="K517" s="226"/>
    </row>
    <row r="518" spans="1:11" ht="20.25">
      <c r="A518" s="226"/>
      <c r="B518" s="226"/>
      <c r="C518" s="226"/>
      <c r="D518" s="226"/>
      <c r="E518" s="226"/>
      <c r="F518" s="226"/>
      <c r="G518" s="226"/>
      <c r="H518" s="226"/>
      <c r="I518" s="226"/>
      <c r="J518" s="226"/>
      <c r="K518" s="226"/>
    </row>
    <row r="519" spans="1:11" ht="20.25">
      <c r="A519" s="226"/>
      <c r="B519" s="226"/>
      <c r="C519" s="226"/>
      <c r="D519" s="226"/>
      <c r="E519" s="226"/>
      <c r="F519" s="226"/>
      <c r="G519" s="226"/>
      <c r="H519" s="226"/>
      <c r="I519" s="226"/>
      <c r="J519" s="226"/>
      <c r="K519" s="226"/>
    </row>
    <row r="520" spans="1:11" ht="20.25">
      <c r="A520" s="226"/>
      <c r="B520" s="226"/>
      <c r="C520" s="226"/>
      <c r="D520" s="226"/>
      <c r="E520" s="226"/>
      <c r="F520" s="226"/>
      <c r="G520" s="226"/>
      <c r="H520" s="226"/>
      <c r="I520" s="226"/>
      <c r="J520" s="226"/>
      <c r="K520" s="226"/>
    </row>
    <row r="521" spans="1:11" ht="20.25">
      <c r="A521" s="226"/>
      <c r="B521" s="226"/>
      <c r="C521" s="226"/>
      <c r="D521" s="226"/>
      <c r="E521" s="226"/>
      <c r="F521" s="226"/>
      <c r="G521" s="226"/>
      <c r="H521" s="226"/>
      <c r="I521" s="226"/>
      <c r="J521" s="226"/>
      <c r="K521" s="226"/>
    </row>
    <row r="522" spans="1:11" ht="20.25">
      <c r="A522" s="226"/>
      <c r="B522" s="226"/>
      <c r="C522" s="226"/>
      <c r="D522" s="226"/>
      <c r="E522" s="226"/>
      <c r="F522" s="226"/>
      <c r="G522" s="226"/>
      <c r="H522" s="226"/>
      <c r="I522" s="226"/>
      <c r="J522" s="226"/>
      <c r="K522" s="226"/>
    </row>
    <row r="523" spans="1:11" ht="20.25">
      <c r="A523" s="226"/>
      <c r="B523" s="226"/>
      <c r="C523" s="226"/>
      <c r="D523" s="226"/>
      <c r="E523" s="226"/>
      <c r="F523" s="226"/>
      <c r="G523" s="226"/>
      <c r="H523" s="226"/>
      <c r="I523" s="226"/>
      <c r="J523" s="226"/>
      <c r="K523" s="226"/>
    </row>
    <row r="524" spans="1:11" ht="20.25">
      <c r="A524" s="226"/>
      <c r="B524" s="226"/>
      <c r="C524" s="226"/>
      <c r="D524" s="226"/>
      <c r="E524" s="226"/>
      <c r="F524" s="226"/>
      <c r="G524" s="226"/>
      <c r="H524" s="226"/>
      <c r="I524" s="226"/>
      <c r="J524" s="226"/>
      <c r="K524" s="226"/>
    </row>
    <row r="525" spans="1:11" ht="20.25">
      <c r="A525" s="226"/>
      <c r="B525" s="226"/>
      <c r="C525" s="226"/>
      <c r="D525" s="226"/>
      <c r="E525" s="226"/>
      <c r="F525" s="226"/>
      <c r="G525" s="226"/>
      <c r="H525" s="226"/>
      <c r="I525" s="226"/>
      <c r="J525" s="226"/>
      <c r="K525" s="226"/>
    </row>
    <row r="526" spans="1:11" ht="20.25">
      <c r="A526" s="226"/>
      <c r="B526" s="226"/>
      <c r="C526" s="226"/>
      <c r="D526" s="226"/>
      <c r="E526" s="226"/>
      <c r="F526" s="226"/>
      <c r="G526" s="226"/>
      <c r="H526" s="226"/>
      <c r="I526" s="226"/>
      <c r="J526" s="226"/>
      <c r="K526" s="226"/>
    </row>
    <row r="527" spans="1:11" ht="20.25">
      <c r="A527" s="226"/>
      <c r="B527" s="226"/>
      <c r="C527" s="226"/>
      <c r="D527" s="226"/>
      <c r="E527" s="226"/>
      <c r="F527" s="226"/>
      <c r="G527" s="226"/>
      <c r="H527" s="226"/>
      <c r="I527" s="226"/>
      <c r="J527" s="226"/>
      <c r="K527" s="226"/>
    </row>
    <row r="528" spans="1:11" ht="20.25">
      <c r="A528" s="226"/>
      <c r="B528" s="226"/>
      <c r="C528" s="226"/>
      <c r="D528" s="226"/>
      <c r="E528" s="226"/>
      <c r="F528" s="226"/>
      <c r="G528" s="226"/>
      <c r="H528" s="226"/>
      <c r="I528" s="226"/>
      <c r="J528" s="226"/>
      <c r="K528" s="226"/>
    </row>
    <row r="529" spans="1:11" ht="20.25">
      <c r="A529" s="226"/>
      <c r="B529" s="226"/>
      <c r="C529" s="226"/>
      <c r="D529" s="226"/>
      <c r="E529" s="226"/>
      <c r="F529" s="226"/>
      <c r="G529" s="226"/>
      <c r="H529" s="226"/>
      <c r="I529" s="226"/>
      <c r="J529" s="226"/>
      <c r="K529" s="226"/>
    </row>
    <row r="530" spans="1:11" ht="20.25">
      <c r="A530" s="226"/>
      <c r="B530" s="226"/>
      <c r="C530" s="226"/>
      <c r="D530" s="226"/>
      <c r="E530" s="226"/>
      <c r="F530" s="226"/>
      <c r="G530" s="226"/>
      <c r="H530" s="226"/>
      <c r="I530" s="226"/>
      <c r="J530" s="226"/>
      <c r="K530" s="226"/>
    </row>
    <row r="531" spans="1:11" ht="20.25">
      <c r="A531" s="226"/>
      <c r="B531" s="226"/>
      <c r="C531" s="226"/>
      <c r="D531" s="226"/>
      <c r="E531" s="226"/>
      <c r="F531" s="226"/>
      <c r="G531" s="226"/>
      <c r="H531" s="226"/>
      <c r="I531" s="226"/>
      <c r="J531" s="226"/>
      <c r="K531" s="226"/>
    </row>
    <row r="532" spans="1:11" ht="20.25">
      <c r="A532" s="226"/>
      <c r="B532" s="226"/>
      <c r="C532" s="226"/>
      <c r="D532" s="226"/>
      <c r="E532" s="226"/>
      <c r="F532" s="226"/>
      <c r="G532" s="226"/>
      <c r="H532" s="226"/>
      <c r="I532" s="226"/>
      <c r="J532" s="226"/>
      <c r="K532" s="226"/>
    </row>
    <row r="533" spans="1:11" ht="20.25">
      <c r="A533" s="226"/>
      <c r="B533" s="226"/>
      <c r="C533" s="226"/>
      <c r="D533" s="226"/>
      <c r="E533" s="226"/>
      <c r="F533" s="226"/>
      <c r="G533" s="226"/>
      <c r="H533" s="226"/>
      <c r="I533" s="226"/>
      <c r="J533" s="226"/>
      <c r="K533" s="226"/>
    </row>
    <row r="534" spans="1:11" ht="20.25">
      <c r="A534" s="226"/>
      <c r="B534" s="226"/>
      <c r="C534" s="226"/>
      <c r="D534" s="226"/>
      <c r="E534" s="226"/>
      <c r="F534" s="226"/>
      <c r="G534" s="226"/>
      <c r="H534" s="226"/>
      <c r="I534" s="226"/>
      <c r="J534" s="226"/>
      <c r="K534" s="226"/>
    </row>
    <row r="535" spans="1:11" ht="20.25">
      <c r="A535" s="226"/>
      <c r="B535" s="226"/>
      <c r="C535" s="226"/>
      <c r="D535" s="226"/>
      <c r="E535" s="226"/>
      <c r="F535" s="226"/>
      <c r="G535" s="226"/>
      <c r="H535" s="226"/>
      <c r="I535" s="226"/>
      <c r="J535" s="226"/>
      <c r="K535" s="226"/>
    </row>
    <row r="536" spans="1:11" ht="20.25">
      <c r="A536" s="226"/>
      <c r="B536" s="226"/>
      <c r="C536" s="226"/>
      <c r="D536" s="226"/>
      <c r="E536" s="226"/>
      <c r="F536" s="226"/>
      <c r="G536" s="226"/>
      <c r="H536" s="226"/>
      <c r="I536" s="226"/>
      <c r="J536" s="226"/>
      <c r="K536" s="226"/>
    </row>
    <row r="537" spans="1:11" ht="20.25">
      <c r="A537" s="226"/>
      <c r="B537" s="226"/>
      <c r="C537" s="226"/>
      <c r="D537" s="226"/>
      <c r="E537" s="226"/>
      <c r="F537" s="226"/>
      <c r="G537" s="226"/>
      <c r="H537" s="226"/>
      <c r="I537" s="226"/>
      <c r="J537" s="226"/>
      <c r="K537" s="226"/>
    </row>
    <row r="538" spans="1:11" ht="20.25">
      <c r="A538" s="226"/>
      <c r="B538" s="226"/>
      <c r="C538" s="226"/>
      <c r="D538" s="226"/>
      <c r="E538" s="226"/>
      <c r="F538" s="226"/>
      <c r="G538" s="226"/>
      <c r="H538" s="226"/>
      <c r="I538" s="226"/>
      <c r="J538" s="226"/>
      <c r="K538" s="226"/>
    </row>
    <row r="539" spans="1:11" ht="20.25">
      <c r="A539" s="226"/>
      <c r="B539" s="226"/>
      <c r="C539" s="226"/>
      <c r="D539" s="226"/>
      <c r="E539" s="226"/>
      <c r="F539" s="226"/>
      <c r="G539" s="226"/>
      <c r="H539" s="226"/>
      <c r="I539" s="226"/>
      <c r="J539" s="226"/>
      <c r="K539" s="226"/>
    </row>
    <row r="540" spans="1:11" ht="20.25">
      <c r="A540" s="226"/>
      <c r="B540" s="226"/>
      <c r="C540" s="226"/>
      <c r="D540" s="226"/>
      <c r="E540" s="226"/>
      <c r="F540" s="226"/>
      <c r="G540" s="226"/>
      <c r="H540" s="226"/>
      <c r="I540" s="226"/>
      <c r="J540" s="226"/>
      <c r="K540" s="226"/>
    </row>
    <row r="541" spans="1:11" ht="20.25">
      <c r="A541" s="226"/>
      <c r="B541" s="226"/>
      <c r="C541" s="226"/>
      <c r="D541" s="226"/>
      <c r="E541" s="226"/>
      <c r="F541" s="226"/>
      <c r="G541" s="226"/>
      <c r="H541" s="226"/>
      <c r="I541" s="226"/>
      <c r="J541" s="226"/>
      <c r="K541" s="226"/>
    </row>
    <row r="542" spans="1:11" ht="20.25">
      <c r="A542" s="226"/>
      <c r="B542" s="226"/>
      <c r="C542" s="226"/>
      <c r="D542" s="226"/>
      <c r="E542" s="226"/>
      <c r="F542" s="226"/>
      <c r="G542" s="226"/>
      <c r="H542" s="226"/>
      <c r="I542" s="226"/>
      <c r="J542" s="226"/>
      <c r="K542" s="226"/>
    </row>
    <row r="543" spans="1:11" ht="20.25">
      <c r="A543" s="226"/>
      <c r="B543" s="226"/>
      <c r="C543" s="226"/>
      <c r="D543" s="226"/>
      <c r="E543" s="226"/>
      <c r="F543" s="226"/>
      <c r="G543" s="226"/>
      <c r="H543" s="226"/>
      <c r="I543" s="226"/>
      <c r="J543" s="226"/>
      <c r="K543" s="226"/>
    </row>
    <row r="544" spans="1:11" ht="20.25">
      <c r="A544" s="226"/>
      <c r="B544" s="226"/>
      <c r="C544" s="226"/>
      <c r="D544" s="226"/>
      <c r="E544" s="226"/>
      <c r="F544" s="226"/>
      <c r="G544" s="226"/>
      <c r="H544" s="226"/>
      <c r="I544" s="226"/>
      <c r="J544" s="226"/>
      <c r="K544" s="226"/>
    </row>
    <row r="545" spans="1:11" ht="20.25">
      <c r="A545" s="226"/>
      <c r="B545" s="226"/>
      <c r="C545" s="226"/>
      <c r="D545" s="226"/>
      <c r="E545" s="226"/>
      <c r="F545" s="226"/>
      <c r="G545" s="226"/>
      <c r="H545" s="226"/>
      <c r="I545" s="226"/>
      <c r="J545" s="226"/>
      <c r="K545" s="226"/>
    </row>
    <row r="546" spans="1:11" ht="20.25">
      <c r="A546" s="226"/>
      <c r="B546" s="226"/>
      <c r="C546" s="226"/>
      <c r="D546" s="226"/>
      <c r="E546" s="226"/>
      <c r="F546" s="226"/>
      <c r="G546" s="226"/>
      <c r="H546" s="226"/>
      <c r="I546" s="226"/>
      <c r="J546" s="226"/>
      <c r="K546" s="226"/>
    </row>
    <row r="547" spans="1:11" ht="20.25">
      <c r="A547" s="226"/>
      <c r="B547" s="226"/>
      <c r="C547" s="226"/>
      <c r="D547" s="226"/>
      <c r="E547" s="226"/>
      <c r="F547" s="226"/>
      <c r="G547" s="226"/>
      <c r="H547" s="226"/>
      <c r="I547" s="226"/>
      <c r="J547" s="226"/>
      <c r="K547" s="226"/>
    </row>
    <row r="548" spans="1:11" ht="20.25">
      <c r="A548" s="226"/>
      <c r="B548" s="226"/>
      <c r="C548" s="226"/>
      <c r="D548" s="226"/>
      <c r="E548" s="226"/>
      <c r="F548" s="226"/>
      <c r="G548" s="226"/>
      <c r="H548" s="226"/>
      <c r="I548" s="226"/>
      <c r="J548" s="226"/>
      <c r="K548" s="226"/>
    </row>
    <row r="549" spans="1:11" ht="20.25">
      <c r="A549" s="226"/>
      <c r="B549" s="226"/>
      <c r="C549" s="226"/>
      <c r="D549" s="226"/>
      <c r="E549" s="226"/>
      <c r="F549" s="226"/>
      <c r="G549" s="226"/>
      <c r="H549" s="226"/>
      <c r="I549" s="226"/>
      <c r="J549" s="226"/>
      <c r="K549" s="226"/>
    </row>
    <row r="550" spans="1:11" ht="20.25">
      <c r="A550" s="226"/>
      <c r="B550" s="226"/>
      <c r="C550" s="226"/>
      <c r="D550" s="226"/>
      <c r="E550" s="226"/>
      <c r="F550" s="226"/>
      <c r="G550" s="226"/>
      <c r="H550" s="226"/>
      <c r="I550" s="226"/>
      <c r="J550" s="226"/>
      <c r="K550" s="226"/>
    </row>
    <row r="551" spans="1:11" ht="20.25">
      <c r="A551" s="226"/>
      <c r="B551" s="226"/>
      <c r="C551" s="226"/>
      <c r="D551" s="226"/>
      <c r="E551" s="226"/>
      <c r="F551" s="226"/>
      <c r="G551" s="226"/>
      <c r="H551" s="226"/>
      <c r="I551" s="226"/>
      <c r="J551" s="226"/>
      <c r="K551" s="226"/>
    </row>
    <row r="552" spans="1:11" ht="20.25">
      <c r="A552" s="226"/>
      <c r="B552" s="226"/>
      <c r="C552" s="226"/>
      <c r="D552" s="226"/>
      <c r="E552" s="226"/>
      <c r="F552" s="226"/>
      <c r="G552" s="226"/>
      <c r="H552" s="226"/>
      <c r="I552" s="226"/>
      <c r="J552" s="226"/>
      <c r="K552" s="226"/>
    </row>
    <row r="553" spans="1:11" ht="20.25">
      <c r="A553" s="226"/>
      <c r="B553" s="226"/>
      <c r="C553" s="226"/>
      <c r="D553" s="226"/>
      <c r="E553" s="226"/>
      <c r="F553" s="226"/>
      <c r="G553" s="226"/>
      <c r="H553" s="226"/>
      <c r="I553" s="226"/>
      <c r="J553" s="226"/>
      <c r="K553" s="226"/>
    </row>
    <row r="554" spans="1:11" ht="20.25">
      <c r="A554" s="226"/>
      <c r="B554" s="226"/>
      <c r="C554" s="226"/>
      <c r="D554" s="226"/>
      <c r="E554" s="226"/>
      <c r="F554" s="226"/>
      <c r="G554" s="226"/>
      <c r="H554" s="226"/>
      <c r="I554" s="226"/>
      <c r="J554" s="226"/>
      <c r="K554" s="226"/>
    </row>
    <row r="555" spans="1:11" ht="20.25">
      <c r="A555" s="226"/>
      <c r="B555" s="226"/>
      <c r="C555" s="226"/>
      <c r="D555" s="226"/>
      <c r="E555" s="226"/>
      <c r="F555" s="226"/>
      <c r="G555" s="226"/>
      <c r="H555" s="226"/>
      <c r="I555" s="226"/>
      <c r="J555" s="226"/>
      <c r="K555" s="226"/>
    </row>
    <row r="556" spans="1:11" ht="20.25">
      <c r="A556" s="226"/>
      <c r="B556" s="226"/>
      <c r="C556" s="226"/>
      <c r="D556" s="226"/>
      <c r="E556" s="226"/>
      <c r="F556" s="226"/>
      <c r="G556" s="226"/>
      <c r="H556" s="226"/>
      <c r="I556" s="226"/>
      <c r="J556" s="226"/>
      <c r="K556" s="226"/>
    </row>
    <row r="557" spans="1:11" ht="20.25">
      <c r="A557" s="226"/>
      <c r="B557" s="226"/>
      <c r="C557" s="226"/>
      <c r="D557" s="226"/>
      <c r="E557" s="226"/>
      <c r="F557" s="226"/>
      <c r="G557" s="226"/>
      <c r="H557" s="226"/>
      <c r="I557" s="226"/>
      <c r="J557" s="226"/>
      <c r="K557" s="226"/>
    </row>
    <row r="558" spans="1:11" ht="20.25">
      <c r="A558" s="226"/>
      <c r="B558" s="226"/>
      <c r="C558" s="226"/>
      <c r="D558" s="226"/>
      <c r="E558" s="226"/>
      <c r="F558" s="226"/>
      <c r="G558" s="226"/>
      <c r="H558" s="226"/>
      <c r="I558" s="226"/>
      <c r="J558" s="226"/>
      <c r="K558" s="226"/>
    </row>
    <row r="559" spans="1:11" ht="20.25">
      <c r="A559" s="226"/>
      <c r="B559" s="226"/>
      <c r="C559" s="226"/>
      <c r="D559" s="226"/>
      <c r="E559" s="226"/>
      <c r="F559" s="226"/>
      <c r="G559" s="226"/>
      <c r="H559" s="226"/>
      <c r="I559" s="226"/>
      <c r="J559" s="226"/>
      <c r="K559" s="226"/>
    </row>
    <row r="560" spans="1:11" ht="20.25">
      <c r="A560" s="226"/>
      <c r="B560" s="226"/>
      <c r="C560" s="226"/>
      <c r="D560" s="226"/>
      <c r="E560" s="226"/>
      <c r="F560" s="226"/>
      <c r="G560" s="226"/>
      <c r="H560" s="226"/>
      <c r="I560" s="226"/>
      <c r="J560" s="226"/>
      <c r="K560" s="226"/>
    </row>
    <row r="561" spans="1:11" ht="20.25">
      <c r="A561" s="226"/>
      <c r="B561" s="226"/>
      <c r="C561" s="226"/>
      <c r="D561" s="226"/>
      <c r="E561" s="226"/>
      <c r="F561" s="226"/>
      <c r="G561" s="226"/>
      <c r="H561" s="226"/>
      <c r="I561" s="226"/>
      <c r="J561" s="226"/>
      <c r="K561" s="226"/>
    </row>
    <row r="562" spans="1:11" ht="20.25">
      <c r="A562" s="226"/>
      <c r="B562" s="226"/>
      <c r="C562" s="226"/>
      <c r="D562" s="226"/>
      <c r="E562" s="226"/>
      <c r="F562" s="226"/>
      <c r="G562" s="226"/>
      <c r="H562" s="226"/>
      <c r="I562" s="226"/>
      <c r="J562" s="226"/>
      <c r="K562" s="226"/>
    </row>
    <row r="563" spans="1:11" ht="20.25">
      <c r="A563" s="226"/>
      <c r="B563" s="226"/>
      <c r="C563" s="226"/>
      <c r="D563" s="226"/>
      <c r="E563" s="226"/>
      <c r="F563" s="226"/>
      <c r="G563" s="226"/>
      <c r="H563" s="226"/>
      <c r="I563" s="226"/>
      <c r="J563" s="226"/>
      <c r="K563" s="226"/>
    </row>
    <row r="564" spans="1:11" ht="20.25">
      <c r="A564" s="226"/>
      <c r="B564" s="226"/>
      <c r="C564" s="226"/>
      <c r="D564" s="226"/>
      <c r="E564" s="226"/>
      <c r="F564" s="226"/>
      <c r="G564" s="226"/>
      <c r="H564" s="226"/>
      <c r="I564" s="226"/>
      <c r="J564" s="226"/>
      <c r="K564" s="226"/>
    </row>
    <row r="565" spans="1:11" ht="20.25">
      <c r="A565" s="226"/>
      <c r="B565" s="226"/>
      <c r="C565" s="226"/>
      <c r="D565" s="226"/>
      <c r="E565" s="226"/>
      <c r="F565" s="226"/>
      <c r="G565" s="226"/>
      <c r="H565" s="226"/>
      <c r="I565" s="226"/>
      <c r="J565" s="226"/>
      <c r="K565" s="226"/>
    </row>
    <row r="566" spans="1:11" ht="20.25">
      <c r="A566" s="226"/>
      <c r="B566" s="226"/>
      <c r="C566" s="226"/>
      <c r="D566" s="226"/>
      <c r="E566" s="226"/>
      <c r="F566" s="226"/>
      <c r="G566" s="226"/>
      <c r="H566" s="226"/>
      <c r="I566" s="226"/>
      <c r="J566" s="226"/>
      <c r="K566" s="226"/>
    </row>
    <row r="567" spans="1:11" ht="20.25">
      <c r="A567" s="226"/>
      <c r="B567" s="226"/>
      <c r="C567" s="226"/>
      <c r="D567" s="226"/>
      <c r="E567" s="226"/>
      <c r="F567" s="226"/>
      <c r="G567" s="226"/>
      <c r="H567" s="226"/>
      <c r="I567" s="226"/>
      <c r="J567" s="226"/>
      <c r="K567" s="226"/>
    </row>
    <row r="568" spans="1:11" ht="20.25">
      <c r="A568" s="226"/>
      <c r="B568" s="226"/>
      <c r="C568" s="226"/>
      <c r="D568" s="226"/>
      <c r="E568" s="226"/>
      <c r="F568" s="226"/>
      <c r="G568" s="226"/>
      <c r="H568" s="226"/>
      <c r="I568" s="226"/>
      <c r="J568" s="226"/>
      <c r="K568" s="226"/>
    </row>
    <row r="569" spans="1:11" ht="20.25">
      <c r="A569" s="226"/>
      <c r="B569" s="226"/>
      <c r="C569" s="226"/>
      <c r="D569" s="226"/>
      <c r="E569" s="226"/>
      <c r="F569" s="226"/>
      <c r="G569" s="226"/>
      <c r="H569" s="226"/>
      <c r="I569" s="226"/>
      <c r="J569" s="226"/>
      <c r="K569" s="226"/>
    </row>
    <row r="570" spans="1:11" ht="20.25">
      <c r="A570" s="226"/>
      <c r="B570" s="226"/>
      <c r="C570" s="226"/>
      <c r="D570" s="226"/>
      <c r="E570" s="226"/>
      <c r="F570" s="226"/>
      <c r="G570" s="226"/>
      <c r="H570" s="226"/>
      <c r="I570" s="226"/>
      <c r="J570" s="226"/>
      <c r="K570" s="226"/>
    </row>
    <row r="571" spans="1:11" ht="20.25">
      <c r="A571" s="226"/>
      <c r="B571" s="226"/>
      <c r="C571" s="226"/>
      <c r="D571" s="226"/>
      <c r="E571" s="226"/>
      <c r="F571" s="226"/>
      <c r="G571" s="226"/>
      <c r="H571" s="226"/>
      <c r="I571" s="226"/>
      <c r="J571" s="226"/>
      <c r="K571" s="226"/>
    </row>
    <row r="572" spans="1:11" ht="20.25">
      <c r="A572" s="226"/>
      <c r="B572" s="226"/>
      <c r="C572" s="226"/>
      <c r="D572" s="226"/>
      <c r="E572" s="226"/>
      <c r="F572" s="226"/>
      <c r="G572" s="226"/>
      <c r="H572" s="226"/>
      <c r="I572" s="226"/>
      <c r="J572" s="226"/>
      <c r="K572" s="226"/>
    </row>
    <row r="573" spans="1:11" ht="20.25">
      <c r="A573" s="226"/>
      <c r="B573" s="226"/>
      <c r="C573" s="226"/>
      <c r="D573" s="226"/>
      <c r="E573" s="226"/>
      <c r="F573" s="226"/>
      <c r="G573" s="226"/>
      <c r="H573" s="226"/>
      <c r="I573" s="226"/>
      <c r="J573" s="226"/>
      <c r="K573" s="226"/>
    </row>
    <row r="574" spans="1:11" ht="20.25">
      <c r="A574" s="226"/>
      <c r="B574" s="226"/>
      <c r="C574" s="226"/>
      <c r="D574" s="226"/>
      <c r="E574" s="226"/>
      <c r="F574" s="226"/>
      <c r="G574" s="226"/>
      <c r="H574" s="226"/>
      <c r="I574" s="226"/>
      <c r="J574" s="226"/>
      <c r="K574" s="226"/>
    </row>
    <row r="575" spans="1:11" ht="20.25">
      <c r="A575" s="226"/>
      <c r="B575" s="226"/>
      <c r="C575" s="226"/>
      <c r="D575" s="226"/>
      <c r="E575" s="226"/>
      <c r="F575" s="226"/>
      <c r="G575" s="226"/>
      <c r="H575" s="226"/>
      <c r="I575" s="226"/>
      <c r="J575" s="226"/>
      <c r="K575" s="226"/>
    </row>
    <row r="576" spans="1:11" ht="20.25">
      <c r="A576" s="226"/>
      <c r="B576" s="226"/>
      <c r="C576" s="226"/>
      <c r="D576" s="226"/>
      <c r="E576" s="226"/>
      <c r="F576" s="226"/>
      <c r="G576" s="226"/>
      <c r="H576" s="226"/>
      <c r="I576" s="226"/>
      <c r="J576" s="226"/>
      <c r="K576" s="226"/>
    </row>
    <row r="577" spans="1:11" ht="20.25">
      <c r="A577" s="226"/>
      <c r="B577" s="226"/>
      <c r="C577" s="226"/>
      <c r="D577" s="226"/>
      <c r="E577" s="226"/>
      <c r="F577" s="226"/>
      <c r="G577" s="226"/>
      <c r="H577" s="226"/>
      <c r="I577" s="226"/>
      <c r="J577" s="226"/>
      <c r="K577" s="226"/>
    </row>
    <row r="578" spans="1:11" ht="20.25">
      <c r="A578" s="226"/>
      <c r="B578" s="226"/>
      <c r="C578" s="226"/>
      <c r="D578" s="226"/>
      <c r="E578" s="226"/>
      <c r="F578" s="226"/>
      <c r="G578" s="226"/>
      <c r="H578" s="226"/>
      <c r="I578" s="226"/>
      <c r="J578" s="226"/>
      <c r="K578" s="226"/>
    </row>
    <row r="579" spans="1:11" ht="20.25">
      <c r="A579" s="226"/>
      <c r="B579" s="226"/>
      <c r="C579" s="226"/>
      <c r="D579" s="226"/>
      <c r="E579" s="226"/>
      <c r="F579" s="226"/>
      <c r="G579" s="226"/>
      <c r="H579" s="226"/>
      <c r="I579" s="226"/>
      <c r="J579" s="226"/>
      <c r="K579" s="226"/>
    </row>
    <row r="580" spans="1:11" ht="20.25">
      <c r="A580" s="226"/>
      <c r="B580" s="226"/>
      <c r="C580" s="226"/>
      <c r="D580" s="226"/>
      <c r="E580" s="226"/>
      <c r="F580" s="226"/>
      <c r="G580" s="226"/>
      <c r="H580" s="226"/>
      <c r="I580" s="226"/>
      <c r="J580" s="226"/>
      <c r="K580" s="226"/>
    </row>
    <row r="581" spans="1:11" ht="20.25">
      <c r="A581" s="226"/>
      <c r="B581" s="226"/>
      <c r="C581" s="226"/>
      <c r="D581" s="226"/>
      <c r="E581" s="226"/>
      <c r="F581" s="226"/>
      <c r="G581" s="226"/>
      <c r="H581" s="226"/>
      <c r="I581" s="226"/>
      <c r="J581" s="226"/>
      <c r="K581" s="226"/>
    </row>
    <row r="582" spans="1:11" ht="20.25">
      <c r="A582" s="226"/>
      <c r="B582" s="226"/>
      <c r="C582" s="226"/>
      <c r="D582" s="226"/>
      <c r="E582" s="226"/>
      <c r="F582" s="226"/>
      <c r="G582" s="226"/>
      <c r="H582" s="226"/>
      <c r="I582" s="226"/>
      <c r="J582" s="226"/>
      <c r="K582" s="226"/>
    </row>
    <row r="583" spans="1:11" ht="20.25">
      <c r="A583" s="226"/>
      <c r="B583" s="226"/>
      <c r="C583" s="226"/>
      <c r="D583" s="226"/>
      <c r="E583" s="226"/>
      <c r="F583" s="226"/>
      <c r="G583" s="226"/>
      <c r="H583" s="226"/>
      <c r="I583" s="226"/>
      <c r="J583" s="226"/>
      <c r="K583" s="226"/>
    </row>
    <row r="584" spans="1:11" ht="20.25">
      <c r="A584" s="226"/>
      <c r="B584" s="226"/>
      <c r="C584" s="226"/>
      <c r="D584" s="226"/>
      <c r="E584" s="226"/>
      <c r="F584" s="226"/>
      <c r="G584" s="226"/>
      <c r="H584" s="226"/>
      <c r="I584" s="226"/>
      <c r="J584" s="226"/>
      <c r="K584" s="226"/>
    </row>
    <row r="585" spans="1:11" ht="20.25">
      <c r="A585" s="226"/>
      <c r="B585" s="226"/>
      <c r="C585" s="226"/>
      <c r="D585" s="226"/>
      <c r="E585" s="226"/>
      <c r="F585" s="226"/>
      <c r="G585" s="226"/>
      <c r="H585" s="226"/>
      <c r="I585" s="226"/>
      <c r="J585" s="226"/>
      <c r="K585" s="226"/>
    </row>
    <row r="586" spans="1:11" ht="20.25">
      <c r="A586" s="226"/>
      <c r="B586" s="226"/>
      <c r="C586" s="226"/>
      <c r="D586" s="226"/>
      <c r="E586" s="226"/>
      <c r="F586" s="226"/>
      <c r="G586" s="226"/>
      <c r="H586" s="226"/>
      <c r="I586" s="226"/>
      <c r="J586" s="226"/>
      <c r="K586" s="226"/>
    </row>
    <row r="587" spans="1:11" ht="20.25">
      <c r="A587" s="226"/>
      <c r="B587" s="226"/>
      <c r="C587" s="226"/>
      <c r="D587" s="226"/>
      <c r="E587" s="226"/>
      <c r="F587" s="226"/>
      <c r="G587" s="226"/>
      <c r="H587" s="226"/>
      <c r="I587" s="226"/>
      <c r="J587" s="226"/>
      <c r="K587" s="226"/>
    </row>
    <row r="588" spans="1:11" ht="20.25">
      <c r="A588" s="226"/>
      <c r="B588" s="226"/>
      <c r="C588" s="226"/>
      <c r="D588" s="226"/>
      <c r="E588" s="226"/>
      <c r="F588" s="226"/>
      <c r="G588" s="226"/>
      <c r="H588" s="226"/>
      <c r="I588" s="226"/>
      <c r="J588" s="226"/>
      <c r="K588" s="226"/>
    </row>
    <row r="589" spans="1:11" ht="20.25">
      <c r="A589" s="226"/>
      <c r="B589" s="226"/>
      <c r="C589" s="226"/>
      <c r="D589" s="226"/>
      <c r="E589" s="226"/>
      <c r="F589" s="226"/>
      <c r="G589" s="226"/>
      <c r="H589" s="226"/>
      <c r="I589" s="226"/>
      <c r="J589" s="226"/>
      <c r="K589" s="226"/>
    </row>
    <row r="590" spans="1:11" ht="20.25">
      <c r="A590" s="226"/>
      <c r="B590" s="226"/>
      <c r="C590" s="226"/>
      <c r="D590" s="226"/>
      <c r="E590" s="226"/>
      <c r="F590" s="226"/>
      <c r="G590" s="226"/>
      <c r="H590" s="226"/>
      <c r="I590" s="226"/>
      <c r="J590" s="226"/>
      <c r="K590" s="226"/>
    </row>
    <row r="591" spans="1:11" ht="20.25">
      <c r="A591" s="226"/>
      <c r="B591" s="226"/>
      <c r="C591" s="226"/>
      <c r="D591" s="226"/>
      <c r="E591" s="226"/>
      <c r="F591" s="226"/>
      <c r="G591" s="226"/>
      <c r="H591" s="226"/>
      <c r="I591" s="226"/>
      <c r="J591" s="226"/>
      <c r="K591" s="226"/>
    </row>
    <row r="592" spans="1:11" ht="20.25">
      <c r="A592" s="226"/>
      <c r="B592" s="226"/>
      <c r="C592" s="226"/>
      <c r="D592" s="226"/>
      <c r="E592" s="226"/>
      <c r="F592" s="226"/>
      <c r="G592" s="226"/>
      <c r="H592" s="226"/>
      <c r="I592" s="226"/>
      <c r="J592" s="226"/>
      <c r="K592" s="226"/>
    </row>
    <row r="593" spans="1:11" ht="20.25">
      <c r="A593" s="226"/>
      <c r="B593" s="226"/>
      <c r="C593" s="226"/>
      <c r="D593" s="226"/>
      <c r="E593" s="226"/>
      <c r="F593" s="226"/>
      <c r="G593" s="226"/>
      <c r="H593" s="226"/>
      <c r="I593" s="226"/>
      <c r="J593" s="226"/>
      <c r="K593" s="226"/>
    </row>
    <row r="594" spans="1:11" ht="20.25">
      <c r="A594" s="226"/>
      <c r="B594" s="226"/>
      <c r="C594" s="226"/>
      <c r="D594" s="226"/>
      <c r="E594" s="226"/>
      <c r="F594" s="226"/>
      <c r="G594" s="226"/>
      <c r="H594" s="226"/>
      <c r="I594" s="226"/>
      <c r="J594" s="226"/>
      <c r="K594" s="226"/>
    </row>
    <row r="595" spans="1:11" ht="20.25">
      <c r="A595" s="226"/>
      <c r="B595" s="226"/>
      <c r="C595" s="226"/>
      <c r="D595" s="226"/>
      <c r="E595" s="226"/>
      <c r="F595" s="226"/>
      <c r="G595" s="226"/>
      <c r="H595" s="226"/>
      <c r="I595" s="226"/>
      <c r="J595" s="226"/>
      <c r="K595" s="226"/>
    </row>
    <row r="596" spans="1:11" ht="20.25">
      <c r="A596" s="226"/>
      <c r="B596" s="226"/>
      <c r="C596" s="226"/>
      <c r="D596" s="226"/>
      <c r="E596" s="226"/>
      <c r="F596" s="226"/>
      <c r="G596" s="226"/>
      <c r="H596" s="226"/>
      <c r="I596" s="226"/>
      <c r="J596" s="226"/>
      <c r="K596" s="226"/>
    </row>
    <row r="597" spans="1:11" ht="20.25">
      <c r="A597" s="226"/>
      <c r="B597" s="226"/>
      <c r="C597" s="226"/>
      <c r="D597" s="226"/>
      <c r="E597" s="226"/>
      <c r="F597" s="226"/>
      <c r="G597" s="226"/>
      <c r="H597" s="226"/>
      <c r="I597" s="226"/>
      <c r="J597" s="226"/>
      <c r="K597" s="226"/>
    </row>
    <row r="598" spans="1:11" ht="20.25">
      <c r="A598" s="226"/>
      <c r="B598" s="226"/>
      <c r="C598" s="226"/>
      <c r="D598" s="226"/>
      <c r="E598" s="226"/>
      <c r="F598" s="226"/>
      <c r="G598" s="226"/>
      <c r="H598" s="226"/>
      <c r="I598" s="226"/>
      <c r="J598" s="226"/>
      <c r="K598" s="226"/>
    </row>
    <row r="599" spans="1:11" ht="20.25">
      <c r="A599" s="226"/>
      <c r="B599" s="226"/>
      <c r="C599" s="226"/>
      <c r="D599" s="226"/>
      <c r="E599" s="226"/>
      <c r="F599" s="226"/>
      <c r="G599" s="226"/>
      <c r="H599" s="226"/>
      <c r="I599" s="226"/>
      <c r="J599" s="226"/>
      <c r="K599" s="226"/>
    </row>
    <row r="600" spans="1:11" ht="20.25">
      <c r="A600" s="226"/>
      <c r="B600" s="226"/>
      <c r="C600" s="226"/>
      <c r="D600" s="226"/>
      <c r="E600" s="226"/>
      <c r="F600" s="226"/>
      <c r="G600" s="226"/>
      <c r="H600" s="226"/>
      <c r="I600" s="226"/>
      <c r="J600" s="226"/>
      <c r="K600" s="226"/>
    </row>
    <row r="601" spans="1:11" ht="20.25">
      <c r="A601" s="226"/>
      <c r="B601" s="226"/>
      <c r="C601" s="226"/>
      <c r="D601" s="226"/>
      <c r="E601" s="226"/>
      <c r="F601" s="226"/>
      <c r="G601" s="226"/>
      <c r="H601" s="226"/>
      <c r="I601" s="226"/>
      <c r="J601" s="226"/>
      <c r="K601" s="226"/>
    </row>
    <row r="602" spans="1:11" ht="20.25">
      <c r="A602" s="226"/>
      <c r="B602" s="226"/>
      <c r="C602" s="226"/>
      <c r="D602" s="226"/>
      <c r="E602" s="226"/>
      <c r="F602" s="226"/>
      <c r="G602" s="226"/>
      <c r="H602" s="226"/>
      <c r="I602" s="226"/>
      <c r="J602" s="226"/>
      <c r="K602" s="226"/>
    </row>
    <row r="603" spans="1:11" ht="20.25">
      <c r="A603" s="226"/>
      <c r="B603" s="226"/>
      <c r="C603" s="226"/>
      <c r="D603" s="226"/>
      <c r="E603" s="226"/>
      <c r="F603" s="226"/>
      <c r="G603" s="226"/>
      <c r="H603" s="226"/>
      <c r="I603" s="226"/>
      <c r="J603" s="226"/>
      <c r="K603" s="226"/>
    </row>
    <row r="604" spans="1:11" ht="20.25">
      <c r="A604" s="226"/>
      <c r="B604" s="226"/>
      <c r="C604" s="226"/>
      <c r="D604" s="226"/>
      <c r="E604" s="226"/>
      <c r="F604" s="226"/>
      <c r="G604" s="226"/>
      <c r="H604" s="226"/>
      <c r="I604" s="226"/>
      <c r="J604" s="226"/>
      <c r="K604" s="226"/>
    </row>
    <row r="605" spans="1:11" ht="20.25">
      <c r="A605" s="226"/>
      <c r="B605" s="226"/>
      <c r="C605" s="226"/>
      <c r="D605" s="226"/>
      <c r="E605" s="226"/>
      <c r="F605" s="226"/>
      <c r="G605" s="226"/>
      <c r="H605" s="226"/>
      <c r="I605" s="226"/>
      <c r="J605" s="226"/>
      <c r="K605" s="226"/>
    </row>
    <row r="606" spans="1:11" ht="20.25">
      <c r="A606" s="226"/>
      <c r="B606" s="226"/>
      <c r="C606" s="226"/>
      <c r="D606" s="226"/>
      <c r="E606" s="226"/>
      <c r="F606" s="226"/>
      <c r="G606" s="226"/>
      <c r="H606" s="226"/>
      <c r="I606" s="226"/>
      <c r="J606" s="226"/>
      <c r="K606" s="226"/>
    </row>
    <row r="607" spans="1:11" ht="20.25">
      <c r="A607" s="226"/>
      <c r="B607" s="226"/>
      <c r="C607" s="226"/>
      <c r="D607" s="226"/>
      <c r="E607" s="226"/>
      <c r="F607" s="226"/>
      <c r="G607" s="226"/>
      <c r="H607" s="226"/>
      <c r="I607" s="226"/>
      <c r="J607" s="226"/>
      <c r="K607" s="226"/>
    </row>
    <row r="608" spans="1:11" ht="20.25">
      <c r="A608" s="226"/>
      <c r="B608" s="226"/>
      <c r="C608" s="226"/>
      <c r="D608" s="226"/>
      <c r="E608" s="226"/>
      <c r="F608" s="226"/>
      <c r="G608" s="226"/>
      <c r="H608" s="226"/>
      <c r="I608" s="226"/>
      <c r="J608" s="226"/>
      <c r="K608" s="226"/>
    </row>
    <row r="609" spans="1:11" ht="20.25">
      <c r="A609" s="226"/>
      <c r="B609" s="226"/>
      <c r="C609" s="226"/>
      <c r="D609" s="226"/>
      <c r="E609" s="226"/>
      <c r="F609" s="226"/>
      <c r="G609" s="226"/>
      <c r="H609" s="226"/>
      <c r="I609" s="226"/>
      <c r="J609" s="226"/>
      <c r="K609" s="226"/>
    </row>
    <row r="610" spans="1:11" ht="20.25">
      <c r="A610" s="226"/>
      <c r="B610" s="226"/>
      <c r="C610" s="226"/>
      <c r="D610" s="226"/>
      <c r="E610" s="226"/>
      <c r="F610" s="226"/>
      <c r="G610" s="226"/>
      <c r="H610" s="226"/>
      <c r="I610" s="226"/>
      <c r="J610" s="226"/>
      <c r="K610" s="226"/>
    </row>
    <row r="611" spans="1:11" ht="20.25">
      <c r="A611" s="226"/>
      <c r="B611" s="226"/>
      <c r="C611" s="226"/>
      <c r="D611" s="226"/>
      <c r="E611" s="226"/>
      <c r="F611" s="226"/>
      <c r="G611" s="226"/>
      <c r="H611" s="226"/>
      <c r="I611" s="226"/>
      <c r="J611" s="226"/>
      <c r="K611" s="226"/>
    </row>
    <row r="612" spans="1:11" ht="20.25">
      <c r="A612" s="226"/>
      <c r="B612" s="226"/>
      <c r="C612" s="226"/>
      <c r="D612" s="226"/>
      <c r="E612" s="226"/>
      <c r="F612" s="226"/>
      <c r="G612" s="226"/>
      <c r="H612" s="226"/>
      <c r="I612" s="226"/>
      <c r="J612" s="226"/>
      <c r="K612" s="226"/>
    </row>
    <row r="613" spans="1:11" ht="20.25">
      <c r="A613" s="226"/>
      <c r="B613" s="226"/>
      <c r="C613" s="226"/>
      <c r="D613" s="226"/>
      <c r="E613" s="226"/>
      <c r="F613" s="226"/>
      <c r="G613" s="226"/>
      <c r="H613" s="226"/>
      <c r="I613" s="226"/>
      <c r="J613" s="226"/>
      <c r="K613" s="226"/>
    </row>
    <row r="614" spans="1:11" ht="20.25">
      <c r="A614" s="226"/>
      <c r="B614" s="226"/>
      <c r="C614" s="226"/>
      <c r="D614" s="226"/>
      <c r="E614" s="226"/>
      <c r="F614" s="226"/>
      <c r="G614" s="226"/>
      <c r="H614" s="226"/>
      <c r="I614" s="226"/>
      <c r="J614" s="226"/>
      <c r="K614" s="226"/>
    </row>
    <row r="615" spans="1:11" ht="20.25">
      <c r="A615" s="226"/>
      <c r="B615" s="226"/>
      <c r="C615" s="226"/>
      <c r="D615" s="226"/>
      <c r="E615" s="226"/>
      <c r="F615" s="226"/>
      <c r="G615" s="226"/>
      <c r="H615" s="226"/>
      <c r="I615" s="226"/>
      <c r="J615" s="226"/>
      <c r="K615" s="226"/>
    </row>
    <row r="616" spans="1:11" ht="20.25">
      <c r="A616" s="226"/>
      <c r="B616" s="226"/>
      <c r="C616" s="226"/>
      <c r="D616" s="226"/>
      <c r="E616" s="226"/>
      <c r="F616" s="226"/>
      <c r="G616" s="226"/>
      <c r="H616" s="226"/>
      <c r="I616" s="226"/>
      <c r="J616" s="226"/>
      <c r="K616" s="226"/>
    </row>
    <row r="617" spans="1:11" ht="20.25">
      <c r="A617" s="226"/>
      <c r="B617" s="226"/>
      <c r="C617" s="226"/>
      <c r="D617" s="226"/>
      <c r="E617" s="226"/>
      <c r="F617" s="226"/>
      <c r="G617" s="226"/>
      <c r="H617" s="226"/>
      <c r="I617" s="226"/>
      <c r="J617" s="226"/>
      <c r="K617" s="226"/>
    </row>
    <row r="618" spans="1:11" ht="20.25">
      <c r="A618" s="226"/>
      <c r="B618" s="226"/>
      <c r="C618" s="226"/>
      <c r="D618" s="226"/>
      <c r="E618" s="226"/>
      <c r="F618" s="226"/>
      <c r="G618" s="226"/>
      <c r="H618" s="226"/>
      <c r="I618" s="226"/>
      <c r="J618" s="226"/>
      <c r="K618" s="226"/>
    </row>
    <row r="619" spans="1:11" ht="20.25">
      <c r="A619" s="226"/>
      <c r="B619" s="226"/>
      <c r="C619" s="226"/>
      <c r="D619" s="226"/>
      <c r="E619" s="226"/>
      <c r="F619" s="226"/>
      <c r="G619" s="226"/>
      <c r="H619" s="226"/>
      <c r="I619" s="226"/>
      <c r="J619" s="226"/>
      <c r="K619" s="226"/>
    </row>
    <row r="620" spans="1:11" ht="20.25">
      <c r="A620" s="226"/>
      <c r="B620" s="226"/>
      <c r="C620" s="226"/>
      <c r="D620" s="226"/>
      <c r="E620" s="226"/>
      <c r="F620" s="226"/>
      <c r="G620" s="226"/>
      <c r="H620" s="226"/>
      <c r="I620" s="226"/>
      <c r="J620" s="226"/>
      <c r="K620" s="226"/>
    </row>
    <row r="621" spans="1:11" ht="20.25">
      <c r="A621" s="226"/>
      <c r="B621" s="226"/>
      <c r="C621" s="226"/>
      <c r="D621" s="226"/>
      <c r="E621" s="226"/>
      <c r="F621" s="226"/>
      <c r="G621" s="226"/>
      <c r="H621" s="226"/>
      <c r="I621" s="226"/>
      <c r="J621" s="226"/>
      <c r="K621" s="226"/>
    </row>
    <row r="622" spans="1:11" ht="20.25">
      <c r="A622" s="226"/>
      <c r="B622" s="226"/>
      <c r="C622" s="226"/>
      <c r="D622" s="226"/>
      <c r="E622" s="226"/>
      <c r="F622" s="226"/>
      <c r="G622" s="226"/>
      <c r="H622" s="226"/>
      <c r="I622" s="226"/>
      <c r="J622" s="226"/>
      <c r="K622" s="226"/>
    </row>
    <row r="623" spans="1:11" ht="20.25">
      <c r="A623" s="226"/>
      <c r="B623" s="226"/>
      <c r="C623" s="226"/>
      <c r="D623" s="226"/>
      <c r="E623" s="226"/>
      <c r="F623" s="226"/>
      <c r="G623" s="226"/>
      <c r="H623" s="226"/>
      <c r="I623" s="226"/>
      <c r="J623" s="226"/>
      <c r="K623" s="226"/>
    </row>
    <row r="624" spans="1:11" ht="20.25">
      <c r="A624" s="226"/>
      <c r="B624" s="226"/>
      <c r="C624" s="226"/>
      <c r="D624" s="226"/>
      <c r="E624" s="226"/>
      <c r="F624" s="226"/>
      <c r="G624" s="226"/>
      <c r="H624" s="226"/>
      <c r="I624" s="226"/>
      <c r="J624" s="226"/>
      <c r="K624" s="226"/>
    </row>
    <row r="625" spans="1:11" ht="20.25">
      <c r="A625" s="226"/>
      <c r="B625" s="226"/>
      <c r="C625" s="226"/>
      <c r="D625" s="226"/>
      <c r="E625" s="226"/>
      <c r="F625" s="226"/>
      <c r="G625" s="226"/>
      <c r="H625" s="226"/>
      <c r="I625" s="226"/>
      <c r="J625" s="226"/>
      <c r="K625" s="226"/>
    </row>
    <row r="626" spans="1:11" ht="20.25">
      <c r="A626" s="226"/>
      <c r="B626" s="226"/>
      <c r="C626" s="226"/>
      <c r="D626" s="226"/>
      <c r="E626" s="226"/>
      <c r="F626" s="226"/>
      <c r="G626" s="226"/>
      <c r="H626" s="226"/>
      <c r="I626" s="226"/>
      <c r="J626" s="226"/>
      <c r="K626" s="226"/>
    </row>
    <row r="627" spans="1:11" ht="20.25">
      <c r="A627" s="226"/>
      <c r="B627" s="226"/>
      <c r="C627" s="226"/>
      <c r="D627" s="226"/>
      <c r="E627" s="226"/>
      <c r="F627" s="226"/>
      <c r="G627" s="226"/>
      <c r="H627" s="226"/>
      <c r="I627" s="226"/>
      <c r="J627" s="226"/>
      <c r="K627" s="226"/>
    </row>
    <row r="628" spans="1:11" ht="20.25">
      <c r="A628" s="226"/>
      <c r="B628" s="226"/>
      <c r="C628" s="226"/>
      <c r="D628" s="226"/>
      <c r="E628" s="226"/>
      <c r="F628" s="226"/>
      <c r="G628" s="226"/>
      <c r="H628" s="226"/>
      <c r="I628" s="226"/>
      <c r="J628" s="226"/>
      <c r="K628" s="226"/>
    </row>
    <row r="629" spans="1:11" ht="20.25">
      <c r="A629" s="226"/>
      <c r="B629" s="226"/>
      <c r="C629" s="226"/>
      <c r="D629" s="226"/>
      <c r="E629" s="226"/>
      <c r="F629" s="226"/>
      <c r="G629" s="226"/>
      <c r="H629" s="226"/>
      <c r="I629" s="226"/>
      <c r="J629" s="226"/>
      <c r="K629" s="226"/>
    </row>
    <row r="630" spans="1:11" ht="20.25">
      <c r="A630" s="226"/>
      <c r="B630" s="226"/>
      <c r="C630" s="226"/>
      <c r="D630" s="226"/>
      <c r="E630" s="226"/>
      <c r="F630" s="226"/>
      <c r="G630" s="226"/>
      <c r="H630" s="226"/>
      <c r="I630" s="226"/>
      <c r="J630" s="226"/>
      <c r="K630" s="226"/>
    </row>
    <row r="631" spans="1:11" ht="20.25">
      <c r="A631" s="226"/>
      <c r="B631" s="226"/>
      <c r="C631" s="226"/>
      <c r="D631" s="226"/>
      <c r="E631" s="226"/>
      <c r="F631" s="226"/>
      <c r="G631" s="226"/>
      <c r="H631" s="226"/>
      <c r="I631" s="226"/>
      <c r="J631" s="226"/>
      <c r="K631" s="226"/>
    </row>
    <row r="632" spans="1:11" ht="20.25">
      <c r="A632" s="226"/>
      <c r="B632" s="226"/>
      <c r="C632" s="226"/>
      <c r="D632" s="226"/>
      <c r="E632" s="226"/>
      <c r="F632" s="226"/>
      <c r="G632" s="226"/>
      <c r="H632" s="226"/>
      <c r="I632" s="226"/>
      <c r="J632" s="226"/>
      <c r="K632" s="226"/>
    </row>
    <row r="633" spans="1:11" ht="20.25">
      <c r="A633" s="226"/>
      <c r="B633" s="226"/>
      <c r="C633" s="226"/>
      <c r="D633" s="226"/>
      <c r="E633" s="226"/>
      <c r="F633" s="226"/>
      <c r="G633" s="226"/>
      <c r="H633" s="226"/>
      <c r="I633" s="226"/>
      <c r="J633" s="226"/>
      <c r="K633" s="226"/>
    </row>
    <row r="634" spans="1:11" ht="20.25">
      <c r="A634" s="226"/>
      <c r="B634" s="226"/>
      <c r="C634" s="226"/>
      <c r="D634" s="226"/>
      <c r="E634" s="226"/>
      <c r="F634" s="226"/>
      <c r="G634" s="226"/>
      <c r="H634" s="226"/>
      <c r="I634" s="226"/>
      <c r="J634" s="226"/>
      <c r="K634" s="226"/>
    </row>
    <row r="635" spans="1:11" ht="20.25">
      <c r="A635" s="226"/>
      <c r="B635" s="226"/>
      <c r="C635" s="226"/>
      <c r="D635" s="226"/>
      <c r="E635" s="226"/>
      <c r="F635" s="226"/>
      <c r="G635" s="226"/>
      <c r="H635" s="226"/>
      <c r="I635" s="226"/>
      <c r="J635" s="226"/>
      <c r="K635" s="226"/>
    </row>
    <row r="636" spans="1:11" ht="20.25">
      <c r="A636" s="226"/>
      <c r="B636" s="226"/>
      <c r="C636" s="226"/>
      <c r="D636" s="226"/>
      <c r="E636" s="226"/>
      <c r="F636" s="226"/>
      <c r="G636" s="226"/>
      <c r="H636" s="226"/>
      <c r="I636" s="226"/>
      <c r="J636" s="226"/>
      <c r="K636" s="226"/>
    </row>
    <row r="637" spans="1:11" ht="20.25">
      <c r="A637" s="226"/>
      <c r="B637" s="226"/>
      <c r="C637" s="226"/>
      <c r="D637" s="226"/>
      <c r="E637" s="226"/>
      <c r="F637" s="226"/>
      <c r="G637" s="226"/>
      <c r="H637" s="226"/>
      <c r="I637" s="226"/>
      <c r="J637" s="226"/>
      <c r="K637" s="226"/>
    </row>
    <row r="638" spans="1:11" ht="20.25">
      <c r="A638" s="226"/>
      <c r="B638" s="226"/>
      <c r="C638" s="226"/>
      <c r="D638" s="226"/>
      <c r="E638" s="226"/>
      <c r="F638" s="226"/>
      <c r="G638" s="226"/>
      <c r="H638" s="226"/>
      <c r="I638" s="226"/>
      <c r="J638" s="226"/>
      <c r="K638" s="226"/>
    </row>
    <row r="639" spans="1:11" ht="20.25">
      <c r="A639" s="226"/>
      <c r="B639" s="226"/>
      <c r="C639" s="226"/>
      <c r="D639" s="226"/>
      <c r="E639" s="226"/>
      <c r="F639" s="226"/>
      <c r="G639" s="226"/>
      <c r="H639" s="226"/>
      <c r="I639" s="226"/>
      <c r="J639" s="226"/>
      <c r="K639" s="226"/>
    </row>
    <row r="640" spans="1:11" ht="20.25">
      <c r="A640" s="226"/>
      <c r="B640" s="226"/>
      <c r="C640" s="226"/>
      <c r="D640" s="226"/>
      <c r="E640" s="226"/>
      <c r="F640" s="226"/>
      <c r="G640" s="226"/>
      <c r="H640" s="226"/>
      <c r="I640" s="226"/>
      <c r="J640" s="226"/>
      <c r="K640" s="226"/>
    </row>
    <row r="641" spans="1:11" ht="20.25">
      <c r="A641" s="226"/>
      <c r="B641" s="226"/>
      <c r="C641" s="226"/>
      <c r="D641" s="226"/>
      <c r="E641" s="226"/>
      <c r="F641" s="226"/>
      <c r="G641" s="226"/>
      <c r="H641" s="226"/>
      <c r="I641" s="226"/>
      <c r="J641" s="226"/>
      <c r="K641" s="226"/>
    </row>
    <row r="642" spans="1:11" ht="20.25">
      <c r="A642" s="226"/>
      <c r="B642" s="226"/>
      <c r="C642" s="226"/>
      <c r="D642" s="226"/>
      <c r="E642" s="226"/>
      <c r="F642" s="226"/>
      <c r="G642" s="226"/>
      <c r="H642" s="226"/>
      <c r="I642" s="226"/>
      <c r="J642" s="226"/>
      <c r="K642" s="226"/>
    </row>
    <row r="643" spans="1:11" ht="20.25">
      <c r="A643" s="226"/>
      <c r="B643" s="226"/>
      <c r="C643" s="226"/>
      <c r="D643" s="226"/>
      <c r="E643" s="226"/>
      <c r="F643" s="226"/>
      <c r="G643" s="226"/>
      <c r="H643" s="226"/>
      <c r="I643" s="226"/>
      <c r="J643" s="226"/>
      <c r="K643" s="226"/>
    </row>
    <row r="644" spans="1:11" ht="20.25">
      <c r="A644" s="226"/>
      <c r="B644" s="226"/>
      <c r="C644" s="226"/>
      <c r="D644" s="226"/>
      <c r="E644" s="226"/>
      <c r="F644" s="226"/>
      <c r="G644" s="226"/>
      <c r="H644" s="226"/>
      <c r="I644" s="226"/>
      <c r="J644" s="226"/>
      <c r="K644" s="226"/>
    </row>
    <row r="645" spans="1:11" ht="20.25">
      <c r="A645" s="226"/>
      <c r="B645" s="226"/>
      <c r="C645" s="226"/>
      <c r="D645" s="226"/>
      <c r="E645" s="226"/>
      <c r="F645" s="226"/>
      <c r="G645" s="226"/>
      <c r="H645" s="226"/>
      <c r="I645" s="226"/>
      <c r="J645" s="226"/>
      <c r="K645" s="226"/>
    </row>
    <row r="646" spans="1:11" ht="20.25">
      <c r="A646" s="226"/>
      <c r="B646" s="226"/>
      <c r="C646" s="226"/>
      <c r="D646" s="226"/>
      <c r="E646" s="226"/>
      <c r="F646" s="226"/>
      <c r="G646" s="226"/>
      <c r="H646" s="226"/>
      <c r="I646" s="226"/>
      <c r="J646" s="226"/>
      <c r="K646" s="226"/>
    </row>
    <row r="647" spans="1:11" ht="20.25">
      <c r="A647" s="226"/>
      <c r="B647" s="226"/>
      <c r="C647" s="226"/>
      <c r="D647" s="226"/>
      <c r="E647" s="226"/>
      <c r="F647" s="226"/>
      <c r="G647" s="226"/>
      <c r="H647" s="226"/>
      <c r="I647" s="226"/>
      <c r="J647" s="226"/>
      <c r="K647" s="226"/>
    </row>
    <row r="648" spans="1:11" ht="20.25">
      <c r="A648" s="226"/>
      <c r="B648" s="226"/>
      <c r="C648" s="226"/>
      <c r="D648" s="226"/>
      <c r="E648" s="226"/>
      <c r="F648" s="226"/>
      <c r="G648" s="226"/>
      <c r="H648" s="226"/>
      <c r="I648" s="226"/>
      <c r="J648" s="226"/>
      <c r="K648" s="226"/>
    </row>
    <row r="649" spans="1:11" ht="20.25">
      <c r="A649" s="226"/>
      <c r="B649" s="226"/>
      <c r="C649" s="226"/>
      <c r="D649" s="226"/>
      <c r="E649" s="226"/>
      <c r="F649" s="226"/>
      <c r="G649" s="226"/>
      <c r="H649" s="226"/>
      <c r="I649" s="226"/>
      <c r="J649" s="226"/>
      <c r="K649" s="226"/>
    </row>
    <row r="650" spans="1:11" ht="20.25">
      <c r="A650" s="226"/>
      <c r="B650" s="226"/>
      <c r="C650" s="226"/>
      <c r="D650" s="226"/>
      <c r="E650" s="226"/>
      <c r="F650" s="226"/>
      <c r="G650" s="226"/>
      <c r="H650" s="226"/>
      <c r="I650" s="226"/>
      <c r="J650" s="226"/>
      <c r="K650" s="226"/>
    </row>
    <row r="651" spans="1:11" ht="20.25">
      <c r="A651" s="226"/>
      <c r="B651" s="226"/>
      <c r="C651" s="226"/>
      <c r="D651" s="226"/>
      <c r="E651" s="226"/>
      <c r="F651" s="226"/>
      <c r="G651" s="226"/>
      <c r="H651" s="226"/>
      <c r="I651" s="226"/>
      <c r="J651" s="226"/>
      <c r="K651" s="226"/>
    </row>
    <row r="652" spans="1:11" ht="20.25">
      <c r="A652" s="226"/>
      <c r="B652" s="226"/>
      <c r="C652" s="226"/>
      <c r="D652" s="226"/>
      <c r="E652" s="226"/>
      <c r="F652" s="226"/>
      <c r="G652" s="226"/>
      <c r="H652" s="226"/>
      <c r="I652" s="226"/>
      <c r="J652" s="226"/>
      <c r="K652" s="226"/>
    </row>
    <row r="653" spans="1:11" ht="20.25">
      <c r="A653" s="226"/>
      <c r="B653" s="226"/>
      <c r="C653" s="226"/>
      <c r="D653" s="226"/>
      <c r="E653" s="226"/>
      <c r="F653" s="226"/>
      <c r="G653" s="226"/>
      <c r="H653" s="226"/>
      <c r="I653" s="226"/>
      <c r="J653" s="226"/>
      <c r="K653" s="226"/>
    </row>
    <row r="654" spans="1:11" ht="20.25">
      <c r="A654" s="226"/>
      <c r="B654" s="226"/>
      <c r="C654" s="226"/>
      <c r="D654" s="226"/>
      <c r="E654" s="226"/>
      <c r="F654" s="226"/>
      <c r="G654" s="226"/>
      <c r="H654" s="226"/>
      <c r="I654" s="226"/>
      <c r="J654" s="226"/>
      <c r="K654" s="226"/>
    </row>
    <row r="655" spans="1:11" ht="20.25">
      <c r="A655" s="226"/>
      <c r="B655" s="226"/>
      <c r="C655" s="226"/>
      <c r="D655" s="226"/>
      <c r="E655" s="226"/>
      <c r="F655" s="226"/>
      <c r="G655" s="226"/>
      <c r="H655" s="226"/>
      <c r="I655" s="226"/>
      <c r="J655" s="226"/>
      <c r="K655" s="226"/>
    </row>
    <row r="656" spans="1:11" ht="20.25">
      <c r="A656" s="226"/>
      <c r="B656" s="226"/>
      <c r="C656" s="226"/>
      <c r="D656" s="226"/>
      <c r="E656" s="226"/>
      <c r="F656" s="226"/>
      <c r="G656" s="226"/>
      <c r="H656" s="226"/>
      <c r="I656" s="226"/>
      <c r="J656" s="226"/>
      <c r="K656" s="226"/>
    </row>
    <row r="657" spans="1:11" ht="20.25">
      <c r="A657" s="226"/>
      <c r="B657" s="226"/>
      <c r="C657" s="226"/>
      <c r="D657" s="226"/>
      <c r="E657" s="226"/>
      <c r="F657" s="226"/>
      <c r="G657" s="226"/>
      <c r="H657" s="226"/>
      <c r="I657" s="226"/>
      <c r="J657" s="226"/>
      <c r="K657" s="226"/>
    </row>
    <row r="658" spans="1:11" ht="20.25">
      <c r="A658" s="226"/>
      <c r="B658" s="226"/>
      <c r="C658" s="226"/>
      <c r="D658" s="226"/>
      <c r="E658" s="226"/>
      <c r="F658" s="226"/>
      <c r="G658" s="226"/>
      <c r="H658" s="226"/>
      <c r="I658" s="226"/>
      <c r="J658" s="226"/>
      <c r="K658" s="226"/>
    </row>
    <row r="659" spans="1:11" ht="20.25">
      <c r="A659" s="226"/>
      <c r="B659" s="226"/>
      <c r="C659" s="226"/>
      <c r="D659" s="226"/>
      <c r="E659" s="226"/>
      <c r="F659" s="226"/>
      <c r="G659" s="226"/>
      <c r="H659" s="226"/>
      <c r="I659" s="226"/>
      <c r="J659" s="226"/>
      <c r="K659" s="226"/>
    </row>
    <row r="660" spans="1:11" ht="20.25">
      <c r="A660" s="226"/>
      <c r="B660" s="226"/>
      <c r="C660" s="226"/>
      <c r="D660" s="226"/>
      <c r="E660" s="226"/>
      <c r="F660" s="226"/>
      <c r="G660" s="226"/>
      <c r="H660" s="226"/>
      <c r="I660" s="226"/>
      <c r="J660" s="226"/>
      <c r="K660" s="226"/>
    </row>
    <row r="661" spans="1:11" ht="20.25">
      <c r="A661" s="226"/>
      <c r="B661" s="226"/>
      <c r="C661" s="226"/>
      <c r="D661" s="226"/>
      <c r="E661" s="226"/>
      <c r="F661" s="226"/>
      <c r="G661" s="226"/>
      <c r="H661" s="226"/>
      <c r="I661" s="226"/>
      <c r="J661" s="226"/>
      <c r="K661" s="226"/>
    </row>
    <row r="662" spans="1:11" ht="20.25">
      <c r="A662" s="226"/>
      <c r="B662" s="226"/>
      <c r="C662" s="226"/>
      <c r="D662" s="226"/>
      <c r="E662" s="226"/>
      <c r="F662" s="226"/>
      <c r="G662" s="226"/>
      <c r="H662" s="226"/>
      <c r="I662" s="226"/>
      <c r="J662" s="226"/>
      <c r="K662" s="226"/>
    </row>
    <row r="663" spans="1:11" ht="20.25">
      <c r="A663" s="226"/>
      <c r="B663" s="226"/>
      <c r="C663" s="226"/>
      <c r="D663" s="226"/>
      <c r="E663" s="226"/>
      <c r="F663" s="226"/>
      <c r="G663" s="226"/>
      <c r="H663" s="226"/>
      <c r="I663" s="226"/>
      <c r="J663" s="226"/>
      <c r="K663" s="226"/>
    </row>
    <row r="664" spans="1:11" ht="20.25">
      <c r="A664" s="226"/>
      <c r="B664" s="226"/>
      <c r="C664" s="226"/>
      <c r="D664" s="226"/>
      <c r="E664" s="226"/>
      <c r="F664" s="226"/>
      <c r="G664" s="226"/>
      <c r="H664" s="226"/>
      <c r="I664" s="226"/>
      <c r="J664" s="226"/>
      <c r="K664" s="226"/>
    </row>
    <row r="665" spans="1:11" ht="20.25">
      <c r="A665" s="226"/>
      <c r="B665" s="226"/>
      <c r="C665" s="226"/>
      <c r="D665" s="226"/>
      <c r="E665" s="226"/>
      <c r="F665" s="226"/>
      <c r="G665" s="226"/>
      <c r="H665" s="226"/>
      <c r="I665" s="226"/>
      <c r="J665" s="226"/>
      <c r="K665" s="226"/>
    </row>
    <row r="666" spans="1:11" ht="20.25">
      <c r="A666" s="226"/>
      <c r="B666" s="226"/>
      <c r="C666" s="226"/>
      <c r="D666" s="226"/>
      <c r="E666" s="226"/>
      <c r="F666" s="226"/>
      <c r="G666" s="226"/>
      <c r="H666" s="226"/>
      <c r="I666" s="226"/>
      <c r="J666" s="226"/>
      <c r="K666" s="226"/>
    </row>
    <row r="667" spans="1:11" ht="20.25">
      <c r="A667" s="226"/>
      <c r="B667" s="226"/>
      <c r="C667" s="226"/>
      <c r="D667" s="226"/>
      <c r="E667" s="226"/>
      <c r="F667" s="226"/>
      <c r="G667" s="226"/>
      <c r="H667" s="226"/>
      <c r="I667" s="226"/>
      <c r="J667" s="226"/>
      <c r="K667" s="226"/>
    </row>
    <row r="668" spans="1:11" ht="20.25">
      <c r="A668" s="226"/>
      <c r="B668" s="226"/>
      <c r="C668" s="226"/>
      <c r="D668" s="226"/>
      <c r="E668" s="226"/>
      <c r="F668" s="226"/>
      <c r="G668" s="226"/>
      <c r="H668" s="226"/>
      <c r="I668" s="226"/>
      <c r="J668" s="226"/>
      <c r="K668" s="226"/>
    </row>
    <row r="669" spans="1:11" ht="20.25">
      <c r="A669" s="226"/>
      <c r="B669" s="226"/>
      <c r="C669" s="226"/>
      <c r="D669" s="226"/>
      <c r="E669" s="226"/>
      <c r="F669" s="226"/>
      <c r="G669" s="226"/>
      <c r="H669" s="226"/>
      <c r="I669" s="226"/>
      <c r="J669" s="226"/>
      <c r="K669" s="226"/>
    </row>
    <row r="670" spans="1:11" ht="20.25">
      <c r="A670" s="226"/>
      <c r="B670" s="226"/>
      <c r="C670" s="226"/>
      <c r="D670" s="226"/>
      <c r="E670" s="226"/>
      <c r="F670" s="226"/>
      <c r="G670" s="226"/>
      <c r="H670" s="226"/>
      <c r="I670" s="226"/>
      <c r="J670" s="226"/>
      <c r="K670" s="226"/>
    </row>
    <row r="671" spans="1:11" ht="20.25">
      <c r="A671" s="226"/>
      <c r="B671" s="226"/>
      <c r="C671" s="226"/>
      <c r="D671" s="226"/>
      <c r="E671" s="226"/>
      <c r="F671" s="226"/>
      <c r="G671" s="226"/>
      <c r="H671" s="226"/>
      <c r="I671" s="226"/>
      <c r="J671" s="226"/>
      <c r="K671" s="226"/>
    </row>
    <row r="672" spans="1:11" ht="20.25">
      <c r="A672" s="226"/>
      <c r="B672" s="226"/>
      <c r="C672" s="226"/>
      <c r="D672" s="226"/>
      <c r="E672" s="226"/>
      <c r="F672" s="226"/>
      <c r="G672" s="226"/>
      <c r="H672" s="226"/>
      <c r="I672" s="226"/>
      <c r="J672" s="226"/>
      <c r="K672" s="226"/>
    </row>
    <row r="673" spans="1:11" ht="20.25">
      <c r="A673" s="226"/>
      <c r="B673" s="226"/>
      <c r="C673" s="226"/>
      <c r="D673" s="226"/>
      <c r="E673" s="226"/>
      <c r="F673" s="226"/>
      <c r="G673" s="226"/>
      <c r="H673" s="226"/>
      <c r="I673" s="226"/>
      <c r="J673" s="226"/>
      <c r="K673" s="226"/>
    </row>
    <row r="674" spans="1:11" ht="20.25">
      <c r="A674" s="226"/>
      <c r="B674" s="226"/>
      <c r="C674" s="226"/>
      <c r="D674" s="226"/>
      <c r="E674" s="226"/>
      <c r="F674" s="226"/>
      <c r="G674" s="226"/>
      <c r="H674" s="226"/>
      <c r="I674" s="226"/>
      <c r="J674" s="226"/>
      <c r="K674" s="226"/>
    </row>
    <row r="675" spans="1:11" ht="20.25">
      <c r="A675" s="226"/>
      <c r="B675" s="226"/>
      <c r="C675" s="226"/>
      <c r="D675" s="226"/>
      <c r="E675" s="226"/>
      <c r="F675" s="226"/>
      <c r="G675" s="226"/>
      <c r="H675" s="226"/>
      <c r="I675" s="226"/>
      <c r="J675" s="226"/>
      <c r="K675" s="226"/>
    </row>
    <row r="676" spans="1:11" ht="20.25">
      <c r="A676" s="226"/>
      <c r="B676" s="226"/>
      <c r="C676" s="226"/>
      <c r="D676" s="226"/>
      <c r="E676" s="226"/>
      <c r="F676" s="226"/>
      <c r="G676" s="226"/>
      <c r="H676" s="226"/>
      <c r="I676" s="226"/>
      <c r="J676" s="226"/>
      <c r="K676" s="226"/>
    </row>
    <row r="677" spans="1:11" ht="20.25">
      <c r="A677" s="226"/>
      <c r="B677" s="226"/>
      <c r="C677" s="226"/>
      <c r="D677" s="226"/>
      <c r="E677" s="226"/>
      <c r="F677" s="226"/>
      <c r="G677" s="226"/>
      <c r="H677" s="226"/>
      <c r="I677" s="226"/>
      <c r="J677" s="226"/>
      <c r="K677" s="226"/>
    </row>
    <row r="678" spans="1:11" ht="20.25">
      <c r="A678" s="226"/>
      <c r="B678" s="226"/>
      <c r="C678" s="226"/>
      <c r="D678" s="226"/>
      <c r="E678" s="226"/>
      <c r="F678" s="226"/>
      <c r="G678" s="226"/>
      <c r="H678" s="226"/>
      <c r="I678" s="226"/>
      <c r="J678" s="226"/>
      <c r="K678" s="226"/>
    </row>
    <row r="679" spans="1:11" ht="20.25">
      <c r="A679" s="226"/>
      <c r="B679" s="226"/>
      <c r="C679" s="226"/>
      <c r="D679" s="226"/>
      <c r="E679" s="226"/>
      <c r="F679" s="226"/>
      <c r="G679" s="226"/>
      <c r="H679" s="226"/>
      <c r="I679" s="226"/>
      <c r="J679" s="226"/>
      <c r="K679" s="226"/>
    </row>
    <row r="680" spans="1:11" ht="20.25">
      <c r="A680" s="226"/>
      <c r="B680" s="226"/>
      <c r="C680" s="226"/>
      <c r="D680" s="226"/>
      <c r="E680" s="226"/>
      <c r="F680" s="226"/>
      <c r="G680" s="226"/>
      <c r="H680" s="226"/>
      <c r="I680" s="226"/>
      <c r="J680" s="226"/>
      <c r="K680" s="226"/>
    </row>
    <row r="681" spans="1:11" ht="20.25">
      <c r="A681" s="226"/>
      <c r="B681" s="226"/>
      <c r="C681" s="226"/>
      <c r="D681" s="226"/>
      <c r="E681" s="226"/>
      <c r="F681" s="226"/>
      <c r="G681" s="226"/>
      <c r="H681" s="226"/>
      <c r="I681" s="226"/>
      <c r="J681" s="226"/>
      <c r="K681" s="226"/>
    </row>
    <row r="682" spans="1:11" ht="20.25">
      <c r="A682" s="226"/>
      <c r="B682" s="226"/>
      <c r="C682" s="226"/>
      <c r="D682" s="226"/>
      <c r="E682" s="226"/>
      <c r="F682" s="226"/>
      <c r="G682" s="226"/>
      <c r="H682" s="226"/>
      <c r="I682" s="226"/>
      <c r="J682" s="226"/>
      <c r="K682" s="226"/>
    </row>
    <row r="683" spans="1:11" ht="20.25">
      <c r="A683" s="226"/>
      <c r="B683" s="226"/>
      <c r="C683" s="226"/>
      <c r="D683" s="226"/>
      <c r="E683" s="226"/>
      <c r="F683" s="226"/>
      <c r="G683" s="226"/>
      <c r="H683" s="226"/>
      <c r="I683" s="226"/>
      <c r="J683" s="226"/>
      <c r="K683" s="226"/>
    </row>
    <row r="684" spans="1:11" ht="20.25">
      <c r="A684" s="226"/>
      <c r="B684" s="226"/>
      <c r="C684" s="226"/>
      <c r="D684" s="226"/>
      <c r="E684" s="226"/>
      <c r="F684" s="226"/>
      <c r="G684" s="226"/>
      <c r="H684" s="226"/>
      <c r="I684" s="226"/>
      <c r="J684" s="226"/>
      <c r="K684" s="226"/>
    </row>
    <row r="685" spans="1:11" ht="20.25">
      <c r="A685" s="226"/>
      <c r="B685" s="226"/>
      <c r="C685" s="226"/>
      <c r="D685" s="226"/>
      <c r="E685" s="226"/>
      <c r="F685" s="226"/>
      <c r="G685" s="226"/>
      <c r="H685" s="226"/>
      <c r="I685" s="226"/>
      <c r="J685" s="226"/>
      <c r="K685" s="226"/>
    </row>
    <row r="686" spans="1:11" ht="20.25">
      <c r="A686" s="226"/>
      <c r="B686" s="226"/>
      <c r="C686" s="226"/>
      <c r="D686" s="226"/>
      <c r="E686" s="226"/>
      <c r="F686" s="226"/>
      <c r="G686" s="226"/>
      <c r="H686" s="226"/>
      <c r="I686" s="226"/>
      <c r="J686" s="226"/>
      <c r="K686" s="226"/>
    </row>
    <row r="687" spans="1:11" ht="20.25">
      <c r="A687" s="226"/>
      <c r="B687" s="226"/>
      <c r="C687" s="226"/>
      <c r="D687" s="226"/>
      <c r="E687" s="226"/>
      <c r="F687" s="226"/>
      <c r="G687" s="226"/>
      <c r="H687" s="226"/>
      <c r="I687" s="226"/>
      <c r="J687" s="226"/>
      <c r="K687" s="226"/>
    </row>
    <row r="688" spans="1:11" ht="20.25">
      <c r="A688" s="226"/>
      <c r="B688" s="226"/>
      <c r="C688" s="226"/>
      <c r="D688" s="226"/>
      <c r="E688" s="226"/>
      <c r="F688" s="226"/>
      <c r="G688" s="226"/>
      <c r="H688" s="226"/>
      <c r="I688" s="226"/>
      <c r="J688" s="226"/>
      <c r="K688" s="226"/>
    </row>
    <row r="689" spans="1:11" ht="20.25">
      <c r="A689" s="226"/>
      <c r="B689" s="226"/>
      <c r="C689" s="226"/>
      <c r="D689" s="226"/>
      <c r="E689" s="226"/>
      <c r="F689" s="226"/>
      <c r="G689" s="226"/>
      <c r="H689" s="226"/>
      <c r="I689" s="226"/>
      <c r="J689" s="226"/>
      <c r="K689" s="226"/>
    </row>
    <row r="690" spans="1:11" ht="20.25">
      <c r="A690" s="226"/>
      <c r="B690" s="226"/>
      <c r="C690" s="226"/>
      <c r="D690" s="226"/>
      <c r="E690" s="226"/>
      <c r="F690" s="226"/>
      <c r="G690" s="226"/>
      <c r="H690" s="226"/>
      <c r="I690" s="226"/>
      <c r="J690" s="226"/>
      <c r="K690" s="226"/>
    </row>
    <row r="691" spans="1:11" ht="20.25">
      <c r="A691" s="226"/>
      <c r="B691" s="226"/>
      <c r="C691" s="226"/>
      <c r="D691" s="226"/>
      <c r="E691" s="226"/>
      <c r="F691" s="226"/>
      <c r="G691" s="226"/>
      <c r="H691" s="226"/>
      <c r="I691" s="226"/>
      <c r="J691" s="226"/>
      <c r="K691" s="226"/>
    </row>
    <row r="692" spans="1:11" ht="20.25">
      <c r="A692" s="226"/>
      <c r="B692" s="226"/>
      <c r="C692" s="226"/>
      <c r="D692" s="226"/>
      <c r="E692" s="226"/>
      <c r="F692" s="226"/>
      <c r="G692" s="226"/>
      <c r="H692" s="226"/>
      <c r="I692" s="226"/>
      <c r="J692" s="226"/>
      <c r="K692" s="226"/>
    </row>
    <row r="693" spans="1:11" ht="20.25">
      <c r="A693" s="226"/>
      <c r="B693" s="226"/>
      <c r="C693" s="226"/>
      <c r="D693" s="226"/>
      <c r="E693" s="226"/>
      <c r="F693" s="226"/>
      <c r="G693" s="226"/>
      <c r="H693" s="226"/>
      <c r="I693" s="226"/>
      <c r="J693" s="226"/>
      <c r="K693" s="226"/>
    </row>
    <row r="694" spans="1:11" ht="20.25">
      <c r="A694" s="226"/>
      <c r="B694" s="226"/>
      <c r="C694" s="226"/>
      <c r="D694" s="226"/>
      <c r="E694" s="226"/>
      <c r="F694" s="226"/>
      <c r="G694" s="226"/>
      <c r="H694" s="226"/>
      <c r="I694" s="226"/>
      <c r="J694" s="226"/>
      <c r="K694" s="226"/>
    </row>
    <row r="695" spans="1:11" ht="20.25">
      <c r="A695" s="226"/>
      <c r="B695" s="226"/>
      <c r="C695" s="226"/>
      <c r="D695" s="226"/>
      <c r="E695" s="226"/>
      <c r="F695" s="226"/>
      <c r="G695" s="226"/>
      <c r="H695" s="226"/>
      <c r="I695" s="226"/>
      <c r="J695" s="226"/>
      <c r="K695" s="226"/>
    </row>
    <row r="696" spans="1:11" ht="20.25">
      <c r="A696" s="226"/>
      <c r="B696" s="226"/>
      <c r="C696" s="226"/>
      <c r="D696" s="226"/>
      <c r="E696" s="226"/>
      <c r="F696" s="226"/>
      <c r="G696" s="226"/>
      <c r="H696" s="226"/>
      <c r="I696" s="226"/>
      <c r="J696" s="226"/>
      <c r="K696" s="226"/>
    </row>
    <row r="697" spans="1:11" ht="20.25">
      <c r="A697" s="226"/>
      <c r="B697" s="226"/>
      <c r="C697" s="226"/>
      <c r="D697" s="226"/>
      <c r="E697" s="226"/>
      <c r="F697" s="226"/>
      <c r="G697" s="226"/>
      <c r="H697" s="226"/>
      <c r="I697" s="226"/>
      <c r="J697" s="226"/>
      <c r="K697" s="226"/>
    </row>
    <row r="698" spans="1:11" ht="20.25">
      <c r="A698" s="226"/>
      <c r="B698" s="226"/>
      <c r="C698" s="226"/>
      <c r="D698" s="226"/>
      <c r="E698" s="226"/>
      <c r="F698" s="226"/>
      <c r="G698" s="226"/>
      <c r="H698" s="226"/>
      <c r="I698" s="226"/>
      <c r="J698" s="226"/>
      <c r="K698" s="226"/>
    </row>
    <row r="699" spans="1:11" ht="20.25">
      <c r="A699" s="226"/>
      <c r="B699" s="226"/>
      <c r="C699" s="226"/>
      <c r="D699" s="226"/>
      <c r="E699" s="226"/>
      <c r="F699" s="226"/>
      <c r="G699" s="226"/>
      <c r="H699" s="226"/>
      <c r="I699" s="226"/>
      <c r="J699" s="226"/>
      <c r="K699" s="226"/>
    </row>
    <row r="700" spans="1:11" ht="20.25">
      <c r="A700" s="226"/>
      <c r="B700" s="226"/>
      <c r="C700" s="226"/>
      <c r="D700" s="226"/>
      <c r="E700" s="226"/>
      <c r="F700" s="226"/>
      <c r="G700" s="226"/>
      <c r="H700" s="226"/>
      <c r="I700" s="226"/>
      <c r="J700" s="226"/>
      <c r="K700" s="226"/>
    </row>
    <row r="701" spans="1:11" ht="20.25">
      <c r="A701" s="226"/>
      <c r="B701" s="226"/>
      <c r="C701" s="226"/>
      <c r="D701" s="226"/>
      <c r="E701" s="226"/>
      <c r="F701" s="226"/>
      <c r="G701" s="226"/>
      <c r="H701" s="226"/>
      <c r="I701" s="226"/>
      <c r="J701" s="226"/>
      <c r="K701" s="226"/>
    </row>
    <row r="702" spans="1:11" ht="20.25">
      <c r="A702" s="226"/>
      <c r="B702" s="226"/>
      <c r="C702" s="226"/>
      <c r="D702" s="226"/>
      <c r="E702" s="226"/>
      <c r="F702" s="226"/>
      <c r="G702" s="226"/>
      <c r="H702" s="226"/>
      <c r="I702" s="226"/>
      <c r="J702" s="226"/>
      <c r="K702" s="226"/>
    </row>
    <row r="703" spans="1:11" ht="20.25">
      <c r="A703" s="226"/>
      <c r="B703" s="226"/>
      <c r="C703" s="226"/>
      <c r="D703" s="226"/>
      <c r="E703" s="226"/>
      <c r="F703" s="226"/>
      <c r="G703" s="226"/>
      <c r="H703" s="226"/>
      <c r="I703" s="226"/>
      <c r="J703" s="226"/>
      <c r="K703" s="226"/>
    </row>
    <row r="704" spans="1:11" ht="20.25">
      <c r="A704" s="226"/>
      <c r="B704" s="226"/>
      <c r="C704" s="226"/>
      <c r="D704" s="226"/>
      <c r="E704" s="226"/>
      <c r="F704" s="226"/>
      <c r="G704" s="226"/>
      <c r="H704" s="226"/>
      <c r="I704" s="226"/>
      <c r="J704" s="226"/>
      <c r="K704" s="226"/>
    </row>
    <row r="705" spans="1:11" ht="20.25">
      <c r="A705" s="226"/>
      <c r="B705" s="226"/>
      <c r="C705" s="226"/>
      <c r="D705" s="226"/>
      <c r="E705" s="226"/>
      <c r="F705" s="226"/>
      <c r="G705" s="226"/>
      <c r="H705" s="226"/>
      <c r="I705" s="226"/>
      <c r="J705" s="226"/>
      <c r="K705" s="226"/>
    </row>
    <row r="706" spans="1:11" ht="20.25">
      <c r="A706" s="226"/>
      <c r="B706" s="226"/>
      <c r="C706" s="226"/>
      <c r="D706" s="226"/>
      <c r="E706" s="226"/>
      <c r="F706" s="226"/>
      <c r="G706" s="226"/>
      <c r="H706" s="226"/>
      <c r="I706" s="226"/>
      <c r="J706" s="226"/>
      <c r="K706" s="226"/>
    </row>
    <row r="707" spans="1:11" ht="20.25">
      <c r="A707" s="226"/>
      <c r="B707" s="226"/>
      <c r="C707" s="226"/>
      <c r="D707" s="226"/>
      <c r="E707" s="226"/>
      <c r="F707" s="226"/>
      <c r="G707" s="226"/>
      <c r="H707" s="226"/>
      <c r="I707" s="226"/>
      <c r="J707" s="226"/>
      <c r="K707" s="226"/>
    </row>
    <row r="708" spans="1:11" ht="20.25">
      <c r="A708" s="226"/>
      <c r="B708" s="226"/>
      <c r="C708" s="226"/>
      <c r="D708" s="226"/>
      <c r="E708" s="226"/>
      <c r="F708" s="226"/>
      <c r="G708" s="226"/>
      <c r="H708" s="226"/>
      <c r="I708" s="226"/>
      <c r="J708" s="226"/>
      <c r="K708" s="226"/>
    </row>
    <row r="709" spans="1:11" ht="20.25">
      <c r="A709" s="226"/>
      <c r="B709" s="226"/>
      <c r="C709" s="226"/>
      <c r="D709" s="226"/>
      <c r="E709" s="226"/>
      <c r="F709" s="226"/>
      <c r="G709" s="226"/>
      <c r="H709" s="226"/>
      <c r="I709" s="226"/>
      <c r="J709" s="226"/>
      <c r="K709" s="226"/>
    </row>
    <row r="710" spans="1:11" ht="20.25">
      <c r="A710" s="226"/>
      <c r="B710" s="226"/>
      <c r="C710" s="226"/>
      <c r="D710" s="226"/>
      <c r="E710" s="226"/>
      <c r="F710" s="226"/>
      <c r="G710" s="226"/>
      <c r="H710" s="226"/>
      <c r="I710" s="226"/>
      <c r="J710" s="226"/>
      <c r="K710" s="226"/>
    </row>
    <row r="711" spans="1:11" ht="20.25">
      <c r="A711" s="226"/>
      <c r="B711" s="226"/>
      <c r="C711" s="226"/>
      <c r="D711" s="226"/>
      <c r="E711" s="226"/>
      <c r="F711" s="226"/>
      <c r="G711" s="226"/>
      <c r="H711" s="226"/>
      <c r="I711" s="226"/>
      <c r="J711" s="226"/>
      <c r="K711" s="226"/>
    </row>
    <row r="712" spans="1:11" ht="20.25">
      <c r="A712" s="226"/>
      <c r="B712" s="226"/>
      <c r="C712" s="226"/>
      <c r="D712" s="226"/>
      <c r="E712" s="226"/>
      <c r="F712" s="226"/>
      <c r="G712" s="226"/>
      <c r="H712" s="226"/>
      <c r="I712" s="226"/>
      <c r="J712" s="226"/>
      <c r="K712" s="226"/>
    </row>
    <row r="713" spans="1:11" ht="20.25">
      <c r="A713" s="226"/>
      <c r="B713" s="226"/>
      <c r="C713" s="226"/>
      <c r="D713" s="226"/>
      <c r="E713" s="226"/>
      <c r="F713" s="226"/>
      <c r="G713" s="226"/>
      <c r="H713" s="226"/>
      <c r="I713" s="226"/>
      <c r="J713" s="226"/>
      <c r="K713" s="226"/>
    </row>
    <row r="714" spans="1:11" ht="20.25">
      <c r="A714" s="226"/>
      <c r="B714" s="226"/>
      <c r="C714" s="226"/>
      <c r="D714" s="226"/>
      <c r="E714" s="226"/>
      <c r="F714" s="226"/>
      <c r="G714" s="226"/>
      <c r="H714" s="226"/>
      <c r="I714" s="226"/>
      <c r="J714" s="226"/>
      <c r="K714" s="226"/>
    </row>
    <row r="715" spans="1:11" ht="20.25">
      <c r="A715" s="226"/>
      <c r="B715" s="226"/>
      <c r="C715" s="226"/>
      <c r="D715" s="226"/>
      <c r="E715" s="226"/>
      <c r="F715" s="226"/>
      <c r="G715" s="226"/>
      <c r="H715" s="226"/>
      <c r="I715" s="226"/>
      <c r="J715" s="226"/>
      <c r="K715" s="226"/>
    </row>
    <row r="716" spans="1:11" ht="20.25">
      <c r="A716" s="226"/>
      <c r="B716" s="226"/>
      <c r="C716" s="226"/>
      <c r="D716" s="226"/>
      <c r="E716" s="226"/>
      <c r="F716" s="226"/>
      <c r="G716" s="226"/>
      <c r="H716" s="226"/>
      <c r="I716" s="226"/>
      <c r="J716" s="226"/>
      <c r="K716" s="226"/>
    </row>
    <row r="717" spans="1:11" ht="20.25">
      <c r="A717" s="226"/>
      <c r="B717" s="226"/>
      <c r="C717" s="226"/>
      <c r="D717" s="226"/>
      <c r="E717" s="226"/>
      <c r="F717" s="226"/>
      <c r="G717" s="226"/>
      <c r="H717" s="226"/>
      <c r="I717" s="226"/>
      <c r="J717" s="226"/>
      <c r="K717" s="226"/>
    </row>
    <row r="718" spans="1:11" ht="20.25">
      <c r="A718" s="226"/>
      <c r="B718" s="226"/>
      <c r="C718" s="226"/>
      <c r="D718" s="226"/>
      <c r="E718" s="226"/>
      <c r="F718" s="226"/>
      <c r="G718" s="226"/>
      <c r="H718" s="226"/>
      <c r="I718" s="226"/>
      <c r="J718" s="226"/>
      <c r="K718" s="226"/>
    </row>
    <row r="719" spans="1:11" ht="20.25">
      <c r="A719" s="226"/>
      <c r="B719" s="226"/>
      <c r="C719" s="226"/>
      <c r="D719" s="226"/>
      <c r="E719" s="226"/>
      <c r="F719" s="226"/>
      <c r="G719" s="226"/>
      <c r="H719" s="226"/>
      <c r="I719" s="226"/>
      <c r="J719" s="226"/>
      <c r="K719" s="226"/>
    </row>
    <row r="720" spans="1:11" ht="20.25">
      <c r="A720" s="226"/>
      <c r="B720" s="226"/>
      <c r="C720" s="226"/>
      <c r="D720" s="226"/>
      <c r="E720" s="226"/>
      <c r="F720" s="226"/>
      <c r="G720" s="226"/>
      <c r="H720" s="226"/>
      <c r="I720" s="226"/>
      <c r="J720" s="226"/>
      <c r="K720" s="226"/>
    </row>
    <row r="721" spans="1:11" ht="20.25">
      <c r="A721" s="226"/>
      <c r="B721" s="226"/>
      <c r="C721" s="226"/>
      <c r="D721" s="226"/>
      <c r="E721" s="226"/>
      <c r="F721" s="226"/>
      <c r="G721" s="226"/>
      <c r="H721" s="226"/>
      <c r="I721" s="226"/>
      <c r="J721" s="226"/>
      <c r="K721" s="226"/>
    </row>
    <row r="722" spans="1:11" ht="20.25">
      <c r="A722" s="226"/>
      <c r="B722" s="226"/>
      <c r="C722" s="226"/>
      <c r="D722" s="226"/>
      <c r="E722" s="226"/>
      <c r="F722" s="226"/>
      <c r="G722" s="226"/>
      <c r="H722" s="226"/>
      <c r="I722" s="226"/>
      <c r="J722" s="226"/>
      <c r="K722" s="226"/>
    </row>
    <row r="723" spans="1:11" ht="20.25">
      <c r="A723" s="226"/>
      <c r="B723" s="226"/>
      <c r="C723" s="226"/>
      <c r="D723" s="226"/>
      <c r="E723" s="226"/>
      <c r="F723" s="226"/>
      <c r="G723" s="226"/>
      <c r="H723" s="226"/>
      <c r="I723" s="226"/>
      <c r="J723" s="226"/>
      <c r="K723" s="226"/>
    </row>
    <row r="724" spans="1:11" ht="20.25">
      <c r="A724" s="226"/>
      <c r="B724" s="226"/>
      <c r="C724" s="226"/>
      <c r="D724" s="226"/>
      <c r="E724" s="226"/>
      <c r="F724" s="226"/>
      <c r="G724" s="226"/>
      <c r="H724" s="226"/>
      <c r="I724" s="226"/>
      <c r="J724" s="226"/>
      <c r="K724" s="226"/>
    </row>
    <row r="725" spans="1:11" ht="20.25">
      <c r="A725" s="226"/>
      <c r="B725" s="226"/>
      <c r="C725" s="226"/>
      <c r="D725" s="226"/>
      <c r="E725" s="226"/>
      <c r="F725" s="226"/>
      <c r="G725" s="226"/>
      <c r="H725" s="226"/>
      <c r="I725" s="226"/>
      <c r="J725" s="226"/>
      <c r="K725" s="226"/>
    </row>
    <row r="726" spans="1:11" ht="20.25">
      <c r="A726" s="226"/>
      <c r="B726" s="226"/>
      <c r="C726" s="226"/>
      <c r="D726" s="226"/>
      <c r="E726" s="226"/>
      <c r="F726" s="226"/>
      <c r="G726" s="226"/>
      <c r="H726" s="226"/>
      <c r="I726" s="226"/>
      <c r="J726" s="226"/>
      <c r="K726" s="226"/>
    </row>
    <row r="727" spans="1:11" ht="20.25">
      <c r="A727" s="226"/>
      <c r="B727" s="226"/>
      <c r="C727" s="226"/>
      <c r="D727" s="226"/>
      <c r="E727" s="226"/>
      <c r="F727" s="226"/>
      <c r="G727" s="226"/>
      <c r="H727" s="226"/>
      <c r="I727" s="226"/>
      <c r="J727" s="226"/>
      <c r="K727" s="226"/>
    </row>
    <row r="728" spans="1:11" ht="20.25">
      <c r="A728" s="226"/>
      <c r="B728" s="226"/>
      <c r="C728" s="226"/>
      <c r="D728" s="226"/>
      <c r="E728" s="226"/>
      <c r="F728" s="226"/>
      <c r="G728" s="226"/>
      <c r="H728" s="226"/>
      <c r="I728" s="226"/>
      <c r="J728" s="226"/>
      <c r="K728" s="226"/>
    </row>
    <row r="729" spans="1:11" ht="20.25">
      <c r="A729" s="226"/>
      <c r="B729" s="226"/>
      <c r="C729" s="226"/>
      <c r="D729" s="226"/>
      <c r="E729" s="226"/>
      <c r="F729" s="226"/>
      <c r="G729" s="226"/>
      <c r="H729" s="226"/>
      <c r="I729" s="226"/>
      <c r="J729" s="226"/>
      <c r="K729" s="226"/>
    </row>
    <row r="730" spans="1:11" ht="20.25">
      <c r="A730" s="226"/>
      <c r="B730" s="226"/>
      <c r="C730" s="226"/>
      <c r="D730" s="226"/>
      <c r="E730" s="226"/>
      <c r="F730" s="226"/>
      <c r="G730" s="226"/>
      <c r="H730" s="226"/>
      <c r="I730" s="226"/>
      <c r="J730" s="226"/>
      <c r="K730" s="226"/>
    </row>
    <row r="731" spans="1:11" ht="20.25">
      <c r="A731" s="226"/>
      <c r="B731" s="226"/>
      <c r="C731" s="226"/>
      <c r="D731" s="226"/>
      <c r="E731" s="226"/>
      <c r="F731" s="226"/>
      <c r="G731" s="226"/>
      <c r="H731" s="226"/>
      <c r="I731" s="226"/>
      <c r="J731" s="226"/>
      <c r="K731" s="226"/>
    </row>
    <row r="732" spans="1:11" ht="20.25">
      <c r="A732" s="226"/>
      <c r="B732" s="226"/>
      <c r="C732" s="226"/>
      <c r="D732" s="226"/>
      <c r="E732" s="226"/>
      <c r="F732" s="226"/>
      <c r="G732" s="226"/>
      <c r="H732" s="226"/>
      <c r="I732" s="226"/>
      <c r="J732" s="226"/>
      <c r="K732" s="226"/>
    </row>
    <row r="733" spans="1:11" ht="20.25">
      <c r="A733" s="226"/>
      <c r="B733" s="226"/>
      <c r="C733" s="226"/>
      <c r="D733" s="226"/>
      <c r="E733" s="226"/>
      <c r="F733" s="226"/>
      <c r="G733" s="226"/>
      <c r="H733" s="226"/>
      <c r="I733" s="226"/>
      <c r="J733" s="226"/>
      <c r="K733" s="226"/>
    </row>
    <row r="734" spans="1:11" ht="20.25">
      <c r="A734" s="226"/>
      <c r="B734" s="226"/>
      <c r="C734" s="226"/>
      <c r="D734" s="226"/>
      <c r="E734" s="226"/>
      <c r="F734" s="226"/>
      <c r="G734" s="226"/>
      <c r="H734" s="226"/>
      <c r="I734" s="226"/>
      <c r="J734" s="226"/>
      <c r="K734" s="226"/>
    </row>
    <row r="735" spans="1:11" ht="20.25">
      <c r="A735" s="226"/>
      <c r="B735" s="226"/>
      <c r="C735" s="226"/>
      <c r="D735" s="226"/>
      <c r="E735" s="226"/>
      <c r="F735" s="226"/>
      <c r="G735" s="226"/>
      <c r="H735" s="226"/>
      <c r="I735" s="226"/>
      <c r="J735" s="226"/>
      <c r="K735" s="226"/>
    </row>
    <row r="736" spans="1:11" ht="20.25">
      <c r="A736" s="226"/>
      <c r="B736" s="226"/>
      <c r="C736" s="226"/>
      <c r="D736" s="226"/>
      <c r="E736" s="226"/>
      <c r="F736" s="226"/>
      <c r="G736" s="226"/>
      <c r="H736" s="226"/>
      <c r="I736" s="226"/>
      <c r="J736" s="226"/>
      <c r="K736" s="226"/>
    </row>
    <row r="737" spans="1:11" ht="20.25">
      <c r="A737" s="226"/>
      <c r="B737" s="226"/>
      <c r="C737" s="226"/>
      <c r="D737" s="226"/>
      <c r="E737" s="226"/>
      <c r="F737" s="226"/>
      <c r="G737" s="226"/>
      <c r="H737" s="226"/>
      <c r="I737" s="226"/>
      <c r="J737" s="226"/>
      <c r="K737" s="226"/>
    </row>
    <row r="738" spans="1:11" ht="20.25">
      <c r="A738" s="226"/>
      <c r="B738" s="226"/>
      <c r="C738" s="226"/>
      <c r="D738" s="226"/>
      <c r="E738" s="226"/>
      <c r="F738" s="226"/>
      <c r="G738" s="226"/>
      <c r="H738" s="226"/>
      <c r="I738" s="226"/>
      <c r="J738" s="226"/>
      <c r="K738" s="226"/>
    </row>
    <row r="739" spans="1:11" ht="20.25">
      <c r="A739" s="226"/>
      <c r="B739" s="226"/>
      <c r="C739" s="226"/>
      <c r="D739" s="226"/>
      <c r="E739" s="226"/>
      <c r="F739" s="226"/>
      <c r="G739" s="226"/>
      <c r="H739" s="226"/>
      <c r="I739" s="226"/>
      <c r="J739" s="226"/>
      <c r="K739" s="226"/>
    </row>
    <row r="740" spans="1:11" ht="20.25">
      <c r="A740" s="226"/>
      <c r="B740" s="226"/>
      <c r="C740" s="226"/>
      <c r="D740" s="226"/>
      <c r="E740" s="226"/>
      <c r="F740" s="226"/>
      <c r="G740" s="226"/>
      <c r="H740" s="226"/>
      <c r="I740" s="226"/>
      <c r="J740" s="226"/>
      <c r="K740" s="226"/>
    </row>
    <row r="741" spans="1:11" ht="20.25">
      <c r="A741" s="226"/>
      <c r="B741" s="226"/>
      <c r="C741" s="226"/>
      <c r="D741" s="226"/>
      <c r="E741" s="226"/>
      <c r="F741" s="226"/>
      <c r="G741" s="226"/>
      <c r="H741" s="226"/>
      <c r="I741" s="226"/>
      <c r="J741" s="226"/>
      <c r="K741" s="226"/>
    </row>
    <row r="742" spans="1:11" ht="20.25">
      <c r="A742" s="226"/>
      <c r="B742" s="226"/>
      <c r="C742" s="226"/>
      <c r="D742" s="226"/>
      <c r="E742" s="226"/>
      <c r="F742" s="226"/>
      <c r="G742" s="226"/>
      <c r="H742" s="226"/>
      <c r="I742" s="226"/>
      <c r="J742" s="226"/>
      <c r="K742" s="226"/>
    </row>
    <row r="743" spans="1:11" ht="20.25">
      <c r="A743" s="226"/>
      <c r="B743" s="226"/>
      <c r="C743" s="226"/>
      <c r="D743" s="226"/>
      <c r="E743" s="226"/>
      <c r="F743" s="226"/>
      <c r="G743" s="226"/>
      <c r="H743" s="226"/>
      <c r="I743" s="226"/>
      <c r="J743" s="226"/>
      <c r="K743" s="226"/>
    </row>
    <row r="744" spans="1:11" ht="20.25">
      <c r="A744" s="226"/>
      <c r="B744" s="226"/>
      <c r="C744" s="226"/>
      <c r="D744" s="226"/>
      <c r="E744" s="226"/>
      <c r="F744" s="226"/>
      <c r="G744" s="226"/>
      <c r="H744" s="226"/>
      <c r="I744" s="226"/>
      <c r="J744" s="226"/>
      <c r="K744" s="226"/>
    </row>
    <row r="745" spans="1:11" ht="20.25">
      <c r="A745" s="226"/>
      <c r="B745" s="226"/>
      <c r="C745" s="226"/>
      <c r="D745" s="226"/>
      <c r="E745" s="226"/>
      <c r="F745" s="226"/>
      <c r="G745" s="226"/>
      <c r="H745" s="226"/>
      <c r="I745" s="226"/>
      <c r="J745" s="226"/>
      <c r="K745" s="226"/>
    </row>
    <row r="746" spans="1:11" ht="20.25">
      <c r="A746" s="226"/>
      <c r="B746" s="226"/>
      <c r="C746" s="226"/>
      <c r="D746" s="226"/>
      <c r="E746" s="226"/>
      <c r="F746" s="226"/>
      <c r="G746" s="226"/>
      <c r="H746" s="226"/>
      <c r="I746" s="226"/>
      <c r="J746" s="226"/>
      <c r="K746" s="226"/>
    </row>
    <row r="747" spans="1:11" ht="20.25">
      <c r="A747" s="226"/>
      <c r="B747" s="226"/>
      <c r="C747" s="226"/>
      <c r="D747" s="226"/>
      <c r="E747" s="226"/>
      <c r="F747" s="226"/>
      <c r="G747" s="226"/>
      <c r="H747" s="226"/>
      <c r="I747" s="226"/>
      <c r="J747" s="226"/>
      <c r="K747" s="226"/>
    </row>
    <row r="748" spans="1:11" ht="20.25">
      <c r="A748" s="226"/>
      <c r="B748" s="226"/>
      <c r="C748" s="226"/>
      <c r="D748" s="226"/>
      <c r="E748" s="226"/>
      <c r="F748" s="226"/>
      <c r="G748" s="226"/>
      <c r="H748" s="226"/>
      <c r="I748" s="226"/>
      <c r="J748" s="226"/>
      <c r="K748" s="226"/>
    </row>
    <row r="749" spans="1:11" ht="20.25">
      <c r="A749" s="226"/>
      <c r="B749" s="226"/>
      <c r="C749" s="226"/>
      <c r="D749" s="226"/>
      <c r="E749" s="226"/>
      <c r="F749" s="226"/>
      <c r="G749" s="226"/>
      <c r="H749" s="226"/>
      <c r="I749" s="226"/>
      <c r="J749" s="226"/>
      <c r="K749" s="226"/>
    </row>
    <row r="750" spans="1:11" ht="20.25">
      <c r="A750" s="226"/>
      <c r="B750" s="226"/>
      <c r="C750" s="226"/>
      <c r="D750" s="226"/>
      <c r="E750" s="226"/>
      <c r="F750" s="226"/>
      <c r="G750" s="226"/>
      <c r="H750" s="226"/>
      <c r="I750" s="226"/>
      <c r="J750" s="226"/>
      <c r="K750" s="226"/>
    </row>
    <row r="751" spans="1:11" ht="20.25">
      <c r="A751" s="226"/>
      <c r="B751" s="226"/>
      <c r="C751" s="226"/>
      <c r="D751" s="226"/>
      <c r="E751" s="226"/>
      <c r="F751" s="226"/>
      <c r="G751" s="226"/>
      <c r="H751" s="226"/>
      <c r="I751" s="226"/>
      <c r="J751" s="226"/>
      <c r="K751" s="226"/>
    </row>
    <row r="752" spans="1:11" ht="20.25">
      <c r="A752" s="226"/>
      <c r="B752" s="226"/>
      <c r="C752" s="226"/>
      <c r="D752" s="226"/>
      <c r="E752" s="226"/>
      <c r="F752" s="226"/>
      <c r="G752" s="226"/>
      <c r="H752" s="226"/>
      <c r="I752" s="226"/>
      <c r="J752" s="226"/>
      <c r="K752" s="226"/>
    </row>
    <row r="753" spans="1:11" ht="20.25">
      <c r="A753" s="226"/>
      <c r="B753" s="226"/>
      <c r="C753" s="226"/>
      <c r="D753" s="226"/>
      <c r="E753" s="226"/>
      <c r="F753" s="226"/>
      <c r="G753" s="226"/>
      <c r="H753" s="226"/>
      <c r="I753" s="226"/>
      <c r="J753" s="226"/>
      <c r="K753" s="226"/>
    </row>
    <row r="754" spans="1:11" ht="20.25">
      <c r="A754" s="226"/>
      <c r="B754" s="226"/>
      <c r="C754" s="226"/>
      <c r="D754" s="226"/>
      <c r="E754" s="226"/>
      <c r="F754" s="226"/>
      <c r="G754" s="226"/>
      <c r="H754" s="226"/>
      <c r="I754" s="226"/>
      <c r="J754" s="226"/>
      <c r="K754" s="226"/>
    </row>
  </sheetData>
  <mergeCells count="79">
    <mergeCell ref="A5:B5"/>
    <mergeCell ref="C5:E5"/>
    <mergeCell ref="F5:G5"/>
    <mergeCell ref="H5:I5"/>
    <mergeCell ref="A6:B6"/>
    <mergeCell ref="C6:E6"/>
    <mergeCell ref="F6:I6"/>
    <mergeCell ref="F2:K2"/>
    <mergeCell ref="A3:K3"/>
    <mergeCell ref="A4:B4"/>
    <mergeCell ref="C4:E4"/>
    <mergeCell ref="F4:G4"/>
    <mergeCell ref="H4:I4"/>
    <mergeCell ref="L8:N8"/>
    <mergeCell ref="H10:I10"/>
    <mergeCell ref="J10:K10"/>
    <mergeCell ref="H11:I11"/>
    <mergeCell ref="J11:K11"/>
    <mergeCell ref="H9:I9"/>
    <mergeCell ref="J9:K9"/>
    <mergeCell ref="A7:K7"/>
    <mergeCell ref="B8:D8"/>
    <mergeCell ref="E8:G8"/>
    <mergeCell ref="I8:K8"/>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A37:K37"/>
    <mergeCell ref="H31:I31"/>
    <mergeCell ref="J31:K31"/>
    <mergeCell ref="H32:I32"/>
    <mergeCell ref="J32:K32"/>
    <mergeCell ref="H33:I33"/>
    <mergeCell ref="J33:K33"/>
    <mergeCell ref="H34:I34"/>
    <mergeCell ref="J34:K34"/>
    <mergeCell ref="H35:I35"/>
    <mergeCell ref="J35:K35"/>
    <mergeCell ref="H36:J36"/>
    <mergeCell ref="B38:I38"/>
    <mergeCell ref="A39:K39"/>
    <mergeCell ref="B41:C41"/>
    <mergeCell ref="F41:G41"/>
    <mergeCell ref="B42:C42"/>
  </mergeCells>
  <phoneticPr fontId="59"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2.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181" customWidth="1"/>
    <col min="2" max="2" width="6.875" style="181" customWidth="1"/>
    <col min="3" max="3" width="18.5" style="181" customWidth="1"/>
    <col min="4" max="4" width="10.875" style="181" customWidth="1"/>
    <col min="5" max="5" width="6.75" style="181" customWidth="1"/>
    <col min="6" max="6" width="9.375" style="288" customWidth="1"/>
    <col min="7" max="7" width="8.875" style="181" customWidth="1"/>
    <col min="8" max="8" width="14" style="181" customWidth="1"/>
    <col min="9" max="9" width="9.375" style="181" customWidth="1"/>
    <col min="10" max="10" width="8.625" style="181" customWidth="1"/>
    <col min="11" max="11" width="12.875" style="234" customWidth="1"/>
    <col min="12" max="12" width="13.375" style="234" bestFit="1" customWidth="1"/>
    <col min="13" max="13" width="7.625" style="234" customWidth="1"/>
    <col min="14" max="14" width="7.625" style="234" bestFit="1" customWidth="1"/>
    <col min="15" max="15" width="4.625" style="234" bestFit="1" customWidth="1"/>
    <col min="16" max="16" width="7.625" style="235" customWidth="1"/>
    <col min="17" max="17" width="7.625" style="234" customWidth="1"/>
    <col min="18" max="18" width="7.625" style="181" bestFit="1" customWidth="1"/>
    <col min="19" max="19" width="4.625" style="181" bestFit="1" customWidth="1"/>
    <col min="20" max="20" width="9.625" style="181" bestFit="1" customWidth="1"/>
    <col min="21" max="21" width="8.75" style="181" bestFit="1" customWidth="1"/>
    <col min="22" max="22" width="11.5" style="181" bestFit="1" customWidth="1"/>
    <col min="23" max="23" width="6.125" style="181" bestFit="1" customWidth="1"/>
    <col min="24" max="24" width="4.625" style="181" bestFit="1" customWidth="1"/>
    <col min="25" max="27" width="6.125" style="181" bestFit="1" customWidth="1"/>
    <col min="28" max="28" width="9" style="181"/>
    <col min="29" max="29" width="9.125" style="236" customWidth="1"/>
    <col min="30" max="31" width="9" style="236"/>
    <col min="32" max="256" width="9" style="181"/>
    <col min="257" max="257" width="4.75" style="181" customWidth="1"/>
    <col min="258" max="258" width="6.875" style="181" customWidth="1"/>
    <col min="259" max="259" width="18.5" style="181" customWidth="1"/>
    <col min="260" max="260" width="10.875" style="181" customWidth="1"/>
    <col min="261" max="261" width="6.75" style="181" customWidth="1"/>
    <col min="262" max="262" width="9.375" style="181" customWidth="1"/>
    <col min="263" max="263" width="8.875" style="181" customWidth="1"/>
    <col min="264" max="264" width="14" style="181" customWidth="1"/>
    <col min="265" max="265" width="9.375" style="181" customWidth="1"/>
    <col min="266" max="266" width="8.625" style="181" customWidth="1"/>
    <col min="267" max="267" width="12.875" style="181" customWidth="1"/>
    <col min="268" max="268" width="13.375" style="181" bestFit="1" customWidth="1"/>
    <col min="269" max="269" width="7.625" style="181" customWidth="1"/>
    <col min="270" max="270" width="7.625" style="181" bestFit="1" customWidth="1"/>
    <col min="271" max="271" width="4.625" style="181" bestFit="1" customWidth="1"/>
    <col min="272" max="273" width="7.625" style="181" customWidth="1"/>
    <col min="274" max="274" width="7.625" style="181" bestFit="1" customWidth="1"/>
    <col min="275" max="275" width="4.625" style="181" bestFit="1" customWidth="1"/>
    <col min="276" max="276" width="9.625" style="181" bestFit="1" customWidth="1"/>
    <col min="277" max="277" width="8.75" style="181" bestFit="1" customWidth="1"/>
    <col min="278" max="278" width="11.5" style="181" bestFit="1" customWidth="1"/>
    <col min="279" max="279" width="6.125" style="181" bestFit="1" customWidth="1"/>
    <col min="280" max="280" width="4.625" style="181" bestFit="1" customWidth="1"/>
    <col min="281" max="283" width="6.125" style="181" bestFit="1" customWidth="1"/>
    <col min="284" max="284" width="9" style="181"/>
    <col min="285" max="285" width="9.125" style="181" customWidth="1"/>
    <col min="286" max="512" width="9" style="181"/>
    <col min="513" max="513" width="4.75" style="181" customWidth="1"/>
    <col min="514" max="514" width="6.875" style="181" customWidth="1"/>
    <col min="515" max="515" width="18.5" style="181" customWidth="1"/>
    <col min="516" max="516" width="10.875" style="181" customWidth="1"/>
    <col min="517" max="517" width="6.75" style="181" customWidth="1"/>
    <col min="518" max="518" width="9.375" style="181" customWidth="1"/>
    <col min="519" max="519" width="8.875" style="181" customWidth="1"/>
    <col min="520" max="520" width="14" style="181" customWidth="1"/>
    <col min="521" max="521" width="9.375" style="181" customWidth="1"/>
    <col min="522" max="522" width="8.625" style="181" customWidth="1"/>
    <col min="523" max="523" width="12.875" style="181" customWidth="1"/>
    <col min="524" max="524" width="13.375" style="181" bestFit="1" customWidth="1"/>
    <col min="525" max="525" width="7.625" style="181" customWidth="1"/>
    <col min="526" max="526" width="7.625" style="181" bestFit="1" customWidth="1"/>
    <col min="527" max="527" width="4.625" style="181" bestFit="1" customWidth="1"/>
    <col min="528" max="529" width="7.625" style="181" customWidth="1"/>
    <col min="530" max="530" width="7.625" style="181" bestFit="1" customWidth="1"/>
    <col min="531" max="531" width="4.625" style="181" bestFit="1" customWidth="1"/>
    <col min="532" max="532" width="9.625" style="181" bestFit="1" customWidth="1"/>
    <col min="533" max="533" width="8.75" style="181" bestFit="1" customWidth="1"/>
    <col min="534" max="534" width="11.5" style="181" bestFit="1" customWidth="1"/>
    <col min="535" max="535" width="6.125" style="181" bestFit="1" customWidth="1"/>
    <col min="536" max="536" width="4.625" style="181" bestFit="1" customWidth="1"/>
    <col min="537" max="539" width="6.125" style="181" bestFit="1" customWidth="1"/>
    <col min="540" max="540" width="9" style="181"/>
    <col min="541" max="541" width="9.125" style="181" customWidth="1"/>
    <col min="542" max="768" width="9" style="181"/>
    <col min="769" max="769" width="4.75" style="181" customWidth="1"/>
    <col min="770" max="770" width="6.875" style="181" customWidth="1"/>
    <col min="771" max="771" width="18.5" style="181" customWidth="1"/>
    <col min="772" max="772" width="10.875" style="181" customWidth="1"/>
    <col min="773" max="773" width="6.75" style="181" customWidth="1"/>
    <col min="774" max="774" width="9.375" style="181" customWidth="1"/>
    <col min="775" max="775" width="8.875" style="181" customWidth="1"/>
    <col min="776" max="776" width="14" style="181" customWidth="1"/>
    <col min="777" max="777" width="9.375" style="181" customWidth="1"/>
    <col min="778" max="778" width="8.625" style="181" customWidth="1"/>
    <col min="779" max="779" width="12.875" style="181" customWidth="1"/>
    <col min="780" max="780" width="13.375" style="181" bestFit="1" customWidth="1"/>
    <col min="781" max="781" width="7.625" style="181" customWidth="1"/>
    <col min="782" max="782" width="7.625" style="181" bestFit="1" customWidth="1"/>
    <col min="783" max="783" width="4.625" style="181" bestFit="1" customWidth="1"/>
    <col min="784" max="785" width="7.625" style="181" customWidth="1"/>
    <col min="786" max="786" width="7.625" style="181" bestFit="1" customWidth="1"/>
    <col min="787" max="787" width="4.625" style="181" bestFit="1" customWidth="1"/>
    <col min="788" max="788" width="9.625" style="181" bestFit="1" customWidth="1"/>
    <col min="789" max="789" width="8.75" style="181" bestFit="1" customWidth="1"/>
    <col min="790" max="790" width="11.5" style="181" bestFit="1" customWidth="1"/>
    <col min="791" max="791" width="6.125" style="181" bestFit="1" customWidth="1"/>
    <col min="792" max="792" width="4.625" style="181" bestFit="1" customWidth="1"/>
    <col min="793" max="795" width="6.125" style="181" bestFit="1" customWidth="1"/>
    <col min="796" max="796" width="9" style="181"/>
    <col min="797" max="797" width="9.125" style="181" customWidth="1"/>
    <col min="798" max="1024" width="9" style="181"/>
    <col min="1025" max="1025" width="4.75" style="181" customWidth="1"/>
    <col min="1026" max="1026" width="6.875" style="181" customWidth="1"/>
    <col min="1027" max="1027" width="18.5" style="181" customWidth="1"/>
    <col min="1028" max="1028" width="10.875" style="181" customWidth="1"/>
    <col min="1029" max="1029" width="6.75" style="181" customWidth="1"/>
    <col min="1030" max="1030" width="9.375" style="181" customWidth="1"/>
    <col min="1031" max="1031" width="8.875" style="181" customWidth="1"/>
    <col min="1032" max="1032" width="14" style="181" customWidth="1"/>
    <col min="1033" max="1033" width="9.375" style="181" customWidth="1"/>
    <col min="1034" max="1034" width="8.625" style="181" customWidth="1"/>
    <col min="1035" max="1035" width="12.875" style="181" customWidth="1"/>
    <col min="1036" max="1036" width="13.375" style="181" bestFit="1" customWidth="1"/>
    <col min="1037" max="1037" width="7.625" style="181" customWidth="1"/>
    <col min="1038" max="1038" width="7.625" style="181" bestFit="1" customWidth="1"/>
    <col min="1039" max="1039" width="4.625" style="181" bestFit="1" customWidth="1"/>
    <col min="1040" max="1041" width="7.625" style="181" customWidth="1"/>
    <col min="1042" max="1042" width="7.625" style="181" bestFit="1" customWidth="1"/>
    <col min="1043" max="1043" width="4.625" style="181" bestFit="1" customWidth="1"/>
    <col min="1044" max="1044" width="9.625" style="181" bestFit="1" customWidth="1"/>
    <col min="1045" max="1045" width="8.75" style="181" bestFit="1" customWidth="1"/>
    <col min="1046" max="1046" width="11.5" style="181" bestFit="1" customWidth="1"/>
    <col min="1047" max="1047" width="6.125" style="181" bestFit="1" customWidth="1"/>
    <col min="1048" max="1048" width="4.625" style="181" bestFit="1" customWidth="1"/>
    <col min="1049" max="1051" width="6.125" style="181" bestFit="1" customWidth="1"/>
    <col min="1052" max="1052" width="9" style="181"/>
    <col min="1053" max="1053" width="9.125" style="181" customWidth="1"/>
    <col min="1054" max="1280" width="9" style="181"/>
    <col min="1281" max="1281" width="4.75" style="181" customWidth="1"/>
    <col min="1282" max="1282" width="6.875" style="181" customWidth="1"/>
    <col min="1283" max="1283" width="18.5" style="181" customWidth="1"/>
    <col min="1284" max="1284" width="10.875" style="181" customWidth="1"/>
    <col min="1285" max="1285" width="6.75" style="181" customWidth="1"/>
    <col min="1286" max="1286" width="9.375" style="181" customWidth="1"/>
    <col min="1287" max="1287" width="8.875" style="181" customWidth="1"/>
    <col min="1288" max="1288" width="14" style="181" customWidth="1"/>
    <col min="1289" max="1289" width="9.375" style="181" customWidth="1"/>
    <col min="1290" max="1290" width="8.625" style="181" customWidth="1"/>
    <col min="1291" max="1291" width="12.875" style="181" customWidth="1"/>
    <col min="1292" max="1292" width="13.375" style="181" bestFit="1" customWidth="1"/>
    <col min="1293" max="1293" width="7.625" style="181" customWidth="1"/>
    <col min="1294" max="1294" width="7.625" style="181" bestFit="1" customWidth="1"/>
    <col min="1295" max="1295" width="4.625" style="181" bestFit="1" customWidth="1"/>
    <col min="1296" max="1297" width="7.625" style="181" customWidth="1"/>
    <col min="1298" max="1298" width="7.625" style="181" bestFit="1" customWidth="1"/>
    <col min="1299" max="1299" width="4.625" style="181" bestFit="1" customWidth="1"/>
    <col min="1300" max="1300" width="9.625" style="181" bestFit="1" customWidth="1"/>
    <col min="1301" max="1301" width="8.75" style="181" bestFit="1" customWidth="1"/>
    <col min="1302" max="1302" width="11.5" style="181" bestFit="1" customWidth="1"/>
    <col min="1303" max="1303" width="6.125" style="181" bestFit="1" customWidth="1"/>
    <col min="1304" max="1304" width="4.625" style="181" bestFit="1" customWidth="1"/>
    <col min="1305" max="1307" width="6.125" style="181" bestFit="1" customWidth="1"/>
    <col min="1308" max="1308" width="9" style="181"/>
    <col min="1309" max="1309" width="9.125" style="181" customWidth="1"/>
    <col min="1310" max="1536" width="9" style="181"/>
    <col min="1537" max="1537" width="4.75" style="181" customWidth="1"/>
    <col min="1538" max="1538" width="6.875" style="181" customWidth="1"/>
    <col min="1539" max="1539" width="18.5" style="181" customWidth="1"/>
    <col min="1540" max="1540" width="10.875" style="181" customWidth="1"/>
    <col min="1541" max="1541" width="6.75" style="181" customWidth="1"/>
    <col min="1542" max="1542" width="9.375" style="181" customWidth="1"/>
    <col min="1543" max="1543" width="8.875" style="181" customWidth="1"/>
    <col min="1544" max="1544" width="14" style="181" customWidth="1"/>
    <col min="1545" max="1545" width="9.375" style="181" customWidth="1"/>
    <col min="1546" max="1546" width="8.625" style="181" customWidth="1"/>
    <col min="1547" max="1547" width="12.875" style="181" customWidth="1"/>
    <col min="1548" max="1548" width="13.375" style="181" bestFit="1" customWidth="1"/>
    <col min="1549" max="1549" width="7.625" style="181" customWidth="1"/>
    <col min="1550" max="1550" width="7.625" style="181" bestFit="1" customWidth="1"/>
    <col min="1551" max="1551" width="4.625" style="181" bestFit="1" customWidth="1"/>
    <col min="1552" max="1553" width="7.625" style="181" customWidth="1"/>
    <col min="1554" max="1554" width="7.625" style="181" bestFit="1" customWidth="1"/>
    <col min="1555" max="1555" width="4.625" style="181" bestFit="1" customWidth="1"/>
    <col min="1556" max="1556" width="9.625" style="181" bestFit="1" customWidth="1"/>
    <col min="1557" max="1557" width="8.75" style="181" bestFit="1" customWidth="1"/>
    <col min="1558" max="1558" width="11.5" style="181" bestFit="1" customWidth="1"/>
    <col min="1559" max="1559" width="6.125" style="181" bestFit="1" customWidth="1"/>
    <col min="1560" max="1560" width="4.625" style="181" bestFit="1" customWidth="1"/>
    <col min="1561" max="1563" width="6.125" style="181" bestFit="1" customWidth="1"/>
    <col min="1564" max="1564" width="9" style="181"/>
    <col min="1565" max="1565" width="9.125" style="181" customWidth="1"/>
    <col min="1566" max="1792" width="9" style="181"/>
    <col min="1793" max="1793" width="4.75" style="181" customWidth="1"/>
    <col min="1794" max="1794" width="6.875" style="181" customWidth="1"/>
    <col min="1795" max="1795" width="18.5" style="181" customWidth="1"/>
    <col min="1796" max="1796" width="10.875" style="181" customWidth="1"/>
    <col min="1797" max="1797" width="6.75" style="181" customWidth="1"/>
    <col min="1798" max="1798" width="9.375" style="181" customWidth="1"/>
    <col min="1799" max="1799" width="8.875" style="181" customWidth="1"/>
    <col min="1800" max="1800" width="14" style="181" customWidth="1"/>
    <col min="1801" max="1801" width="9.375" style="181" customWidth="1"/>
    <col min="1802" max="1802" width="8.625" style="181" customWidth="1"/>
    <col min="1803" max="1803" width="12.875" style="181" customWidth="1"/>
    <col min="1804" max="1804" width="13.375" style="181" bestFit="1" customWidth="1"/>
    <col min="1805" max="1805" width="7.625" style="181" customWidth="1"/>
    <col min="1806" max="1806" width="7.625" style="181" bestFit="1" customWidth="1"/>
    <col min="1807" max="1807" width="4.625" style="181" bestFit="1" customWidth="1"/>
    <col min="1808" max="1809" width="7.625" style="181" customWidth="1"/>
    <col min="1810" max="1810" width="7.625" style="181" bestFit="1" customWidth="1"/>
    <col min="1811" max="1811" width="4.625" style="181" bestFit="1" customWidth="1"/>
    <col min="1812" max="1812" width="9.625" style="181" bestFit="1" customWidth="1"/>
    <col min="1813" max="1813" width="8.75" style="181" bestFit="1" customWidth="1"/>
    <col min="1814" max="1814" width="11.5" style="181" bestFit="1" customWidth="1"/>
    <col min="1815" max="1815" width="6.125" style="181" bestFit="1" customWidth="1"/>
    <col min="1816" max="1816" width="4.625" style="181" bestFit="1" customWidth="1"/>
    <col min="1817" max="1819" width="6.125" style="181" bestFit="1" customWidth="1"/>
    <col min="1820" max="1820" width="9" style="181"/>
    <col min="1821" max="1821" width="9.125" style="181" customWidth="1"/>
    <col min="1822" max="2048" width="9" style="181"/>
    <col min="2049" max="2049" width="4.75" style="181" customWidth="1"/>
    <col min="2050" max="2050" width="6.875" style="181" customWidth="1"/>
    <col min="2051" max="2051" width="18.5" style="181" customWidth="1"/>
    <col min="2052" max="2052" width="10.875" style="181" customWidth="1"/>
    <col min="2053" max="2053" width="6.75" style="181" customWidth="1"/>
    <col min="2054" max="2054" width="9.375" style="181" customWidth="1"/>
    <col min="2055" max="2055" width="8.875" style="181" customWidth="1"/>
    <col min="2056" max="2056" width="14" style="181" customWidth="1"/>
    <col min="2057" max="2057" width="9.375" style="181" customWidth="1"/>
    <col min="2058" max="2058" width="8.625" style="181" customWidth="1"/>
    <col min="2059" max="2059" width="12.875" style="181" customWidth="1"/>
    <col min="2060" max="2060" width="13.375" style="181" bestFit="1" customWidth="1"/>
    <col min="2061" max="2061" width="7.625" style="181" customWidth="1"/>
    <col min="2062" max="2062" width="7.625" style="181" bestFit="1" customWidth="1"/>
    <col min="2063" max="2063" width="4.625" style="181" bestFit="1" customWidth="1"/>
    <col min="2064" max="2065" width="7.625" style="181" customWidth="1"/>
    <col min="2066" max="2066" width="7.625" style="181" bestFit="1" customWidth="1"/>
    <col min="2067" max="2067" width="4.625" style="181" bestFit="1" customWidth="1"/>
    <col min="2068" max="2068" width="9.625" style="181" bestFit="1" customWidth="1"/>
    <col min="2069" max="2069" width="8.75" style="181" bestFit="1" customWidth="1"/>
    <col min="2070" max="2070" width="11.5" style="181" bestFit="1" customWidth="1"/>
    <col min="2071" max="2071" width="6.125" style="181" bestFit="1" customWidth="1"/>
    <col min="2072" max="2072" width="4.625" style="181" bestFit="1" customWidth="1"/>
    <col min="2073" max="2075" width="6.125" style="181" bestFit="1" customWidth="1"/>
    <col min="2076" max="2076" width="9" style="181"/>
    <col min="2077" max="2077" width="9.125" style="181" customWidth="1"/>
    <col min="2078" max="2304" width="9" style="181"/>
    <col min="2305" max="2305" width="4.75" style="181" customWidth="1"/>
    <col min="2306" max="2306" width="6.875" style="181" customWidth="1"/>
    <col min="2307" max="2307" width="18.5" style="181" customWidth="1"/>
    <col min="2308" max="2308" width="10.875" style="181" customWidth="1"/>
    <col min="2309" max="2309" width="6.75" style="181" customWidth="1"/>
    <col min="2310" max="2310" width="9.375" style="181" customWidth="1"/>
    <col min="2311" max="2311" width="8.875" style="181" customWidth="1"/>
    <col min="2312" max="2312" width="14" style="181" customWidth="1"/>
    <col min="2313" max="2313" width="9.375" style="181" customWidth="1"/>
    <col min="2314" max="2314" width="8.625" style="181" customWidth="1"/>
    <col min="2315" max="2315" width="12.875" style="181" customWidth="1"/>
    <col min="2316" max="2316" width="13.375" style="181" bestFit="1" customWidth="1"/>
    <col min="2317" max="2317" width="7.625" style="181" customWidth="1"/>
    <col min="2318" max="2318" width="7.625" style="181" bestFit="1" customWidth="1"/>
    <col min="2319" max="2319" width="4.625" style="181" bestFit="1" customWidth="1"/>
    <col min="2320" max="2321" width="7.625" style="181" customWidth="1"/>
    <col min="2322" max="2322" width="7.625" style="181" bestFit="1" customWidth="1"/>
    <col min="2323" max="2323" width="4.625" style="181" bestFit="1" customWidth="1"/>
    <col min="2324" max="2324" width="9.625" style="181" bestFit="1" customWidth="1"/>
    <col min="2325" max="2325" width="8.75" style="181" bestFit="1" customWidth="1"/>
    <col min="2326" max="2326" width="11.5" style="181" bestFit="1" customWidth="1"/>
    <col min="2327" max="2327" width="6.125" style="181" bestFit="1" customWidth="1"/>
    <col min="2328" max="2328" width="4.625" style="181" bestFit="1" customWidth="1"/>
    <col min="2329" max="2331" width="6.125" style="181" bestFit="1" customWidth="1"/>
    <col min="2332" max="2332" width="9" style="181"/>
    <col min="2333" max="2333" width="9.125" style="181" customWidth="1"/>
    <col min="2334" max="2560" width="9" style="181"/>
    <col min="2561" max="2561" width="4.75" style="181" customWidth="1"/>
    <col min="2562" max="2562" width="6.875" style="181" customWidth="1"/>
    <col min="2563" max="2563" width="18.5" style="181" customWidth="1"/>
    <col min="2564" max="2564" width="10.875" style="181" customWidth="1"/>
    <col min="2565" max="2565" width="6.75" style="181" customWidth="1"/>
    <col min="2566" max="2566" width="9.375" style="181" customWidth="1"/>
    <col min="2567" max="2567" width="8.875" style="181" customWidth="1"/>
    <col min="2568" max="2568" width="14" style="181" customWidth="1"/>
    <col min="2569" max="2569" width="9.375" style="181" customWidth="1"/>
    <col min="2570" max="2570" width="8.625" style="181" customWidth="1"/>
    <col min="2571" max="2571" width="12.875" style="181" customWidth="1"/>
    <col min="2572" max="2572" width="13.375" style="181" bestFit="1" customWidth="1"/>
    <col min="2573" max="2573" width="7.625" style="181" customWidth="1"/>
    <col min="2574" max="2574" width="7.625" style="181" bestFit="1" customWidth="1"/>
    <col min="2575" max="2575" width="4.625" style="181" bestFit="1" customWidth="1"/>
    <col min="2576" max="2577" width="7.625" style="181" customWidth="1"/>
    <col min="2578" max="2578" width="7.625" style="181" bestFit="1" customWidth="1"/>
    <col min="2579" max="2579" width="4.625" style="181" bestFit="1" customWidth="1"/>
    <col min="2580" max="2580" width="9.625" style="181" bestFit="1" customWidth="1"/>
    <col min="2581" max="2581" width="8.75" style="181" bestFit="1" customWidth="1"/>
    <col min="2582" max="2582" width="11.5" style="181" bestFit="1" customWidth="1"/>
    <col min="2583" max="2583" width="6.125" style="181" bestFit="1" customWidth="1"/>
    <col min="2584" max="2584" width="4.625" style="181" bestFit="1" customWidth="1"/>
    <col min="2585" max="2587" width="6.125" style="181" bestFit="1" customWidth="1"/>
    <col min="2588" max="2588" width="9" style="181"/>
    <col min="2589" max="2589" width="9.125" style="181" customWidth="1"/>
    <col min="2590" max="2816" width="9" style="181"/>
    <col min="2817" max="2817" width="4.75" style="181" customWidth="1"/>
    <col min="2818" max="2818" width="6.875" style="181" customWidth="1"/>
    <col min="2819" max="2819" width="18.5" style="181" customWidth="1"/>
    <col min="2820" max="2820" width="10.875" style="181" customWidth="1"/>
    <col min="2821" max="2821" width="6.75" style="181" customWidth="1"/>
    <col min="2822" max="2822" width="9.375" style="181" customWidth="1"/>
    <col min="2823" max="2823" width="8.875" style="181" customWidth="1"/>
    <col min="2824" max="2824" width="14" style="181" customWidth="1"/>
    <col min="2825" max="2825" width="9.375" style="181" customWidth="1"/>
    <col min="2826" max="2826" width="8.625" style="181" customWidth="1"/>
    <col min="2827" max="2827" width="12.875" style="181" customWidth="1"/>
    <col min="2828" max="2828" width="13.375" style="181" bestFit="1" customWidth="1"/>
    <col min="2829" max="2829" width="7.625" style="181" customWidth="1"/>
    <col min="2830" max="2830" width="7.625" style="181" bestFit="1" customWidth="1"/>
    <col min="2831" max="2831" width="4.625" style="181" bestFit="1" customWidth="1"/>
    <col min="2832" max="2833" width="7.625" style="181" customWidth="1"/>
    <col min="2834" max="2834" width="7.625" style="181" bestFit="1" customWidth="1"/>
    <col min="2835" max="2835" width="4.625" style="181" bestFit="1" customWidth="1"/>
    <col min="2836" max="2836" width="9.625" style="181" bestFit="1" customWidth="1"/>
    <col min="2837" max="2837" width="8.75" style="181" bestFit="1" customWidth="1"/>
    <col min="2838" max="2838" width="11.5" style="181" bestFit="1" customWidth="1"/>
    <col min="2839" max="2839" width="6.125" style="181" bestFit="1" customWidth="1"/>
    <col min="2840" max="2840" width="4.625" style="181" bestFit="1" customWidth="1"/>
    <col min="2841" max="2843" width="6.125" style="181" bestFit="1" customWidth="1"/>
    <col min="2844" max="2844" width="9" style="181"/>
    <col min="2845" max="2845" width="9.125" style="181" customWidth="1"/>
    <col min="2846" max="3072" width="9" style="181"/>
    <col min="3073" max="3073" width="4.75" style="181" customWidth="1"/>
    <col min="3074" max="3074" width="6.875" style="181" customWidth="1"/>
    <col min="3075" max="3075" width="18.5" style="181" customWidth="1"/>
    <col min="3076" max="3076" width="10.875" style="181" customWidth="1"/>
    <col min="3077" max="3077" width="6.75" style="181" customWidth="1"/>
    <col min="3078" max="3078" width="9.375" style="181" customWidth="1"/>
    <col min="3079" max="3079" width="8.875" style="181" customWidth="1"/>
    <col min="3080" max="3080" width="14" style="181" customWidth="1"/>
    <col min="3081" max="3081" width="9.375" style="181" customWidth="1"/>
    <col min="3082" max="3082" width="8.625" style="181" customWidth="1"/>
    <col min="3083" max="3083" width="12.875" style="181" customWidth="1"/>
    <col min="3084" max="3084" width="13.375" style="181" bestFit="1" customWidth="1"/>
    <col min="3085" max="3085" width="7.625" style="181" customWidth="1"/>
    <col min="3086" max="3086" width="7.625" style="181" bestFit="1" customWidth="1"/>
    <col min="3087" max="3087" width="4.625" style="181" bestFit="1" customWidth="1"/>
    <col min="3088" max="3089" width="7.625" style="181" customWidth="1"/>
    <col min="3090" max="3090" width="7.625" style="181" bestFit="1" customWidth="1"/>
    <col min="3091" max="3091" width="4.625" style="181" bestFit="1" customWidth="1"/>
    <col min="3092" max="3092" width="9.625" style="181" bestFit="1" customWidth="1"/>
    <col min="3093" max="3093" width="8.75" style="181" bestFit="1" customWidth="1"/>
    <col min="3094" max="3094" width="11.5" style="181" bestFit="1" customWidth="1"/>
    <col min="3095" max="3095" width="6.125" style="181" bestFit="1" customWidth="1"/>
    <col min="3096" max="3096" width="4.625" style="181" bestFit="1" customWidth="1"/>
    <col min="3097" max="3099" width="6.125" style="181" bestFit="1" customWidth="1"/>
    <col min="3100" max="3100" width="9" style="181"/>
    <col min="3101" max="3101" width="9.125" style="181" customWidth="1"/>
    <col min="3102" max="3328" width="9" style="181"/>
    <col min="3329" max="3329" width="4.75" style="181" customWidth="1"/>
    <col min="3330" max="3330" width="6.875" style="181" customWidth="1"/>
    <col min="3331" max="3331" width="18.5" style="181" customWidth="1"/>
    <col min="3332" max="3332" width="10.875" style="181" customWidth="1"/>
    <col min="3333" max="3333" width="6.75" style="181" customWidth="1"/>
    <col min="3334" max="3334" width="9.375" style="181" customWidth="1"/>
    <col min="3335" max="3335" width="8.875" style="181" customWidth="1"/>
    <col min="3336" max="3336" width="14" style="181" customWidth="1"/>
    <col min="3337" max="3337" width="9.375" style="181" customWidth="1"/>
    <col min="3338" max="3338" width="8.625" style="181" customWidth="1"/>
    <col min="3339" max="3339" width="12.875" style="181" customWidth="1"/>
    <col min="3340" max="3340" width="13.375" style="181" bestFit="1" customWidth="1"/>
    <col min="3341" max="3341" width="7.625" style="181" customWidth="1"/>
    <col min="3342" max="3342" width="7.625" style="181" bestFit="1" customWidth="1"/>
    <col min="3343" max="3343" width="4.625" style="181" bestFit="1" customWidth="1"/>
    <col min="3344" max="3345" width="7.625" style="181" customWidth="1"/>
    <col min="3346" max="3346" width="7.625" style="181" bestFit="1" customWidth="1"/>
    <col min="3347" max="3347" width="4.625" style="181" bestFit="1" customWidth="1"/>
    <col min="3348" max="3348" width="9.625" style="181" bestFit="1" customWidth="1"/>
    <col min="3349" max="3349" width="8.75" style="181" bestFit="1" customWidth="1"/>
    <col min="3350" max="3350" width="11.5" style="181" bestFit="1" customWidth="1"/>
    <col min="3351" max="3351" width="6.125" style="181" bestFit="1" customWidth="1"/>
    <col min="3352" max="3352" width="4.625" style="181" bestFit="1" customWidth="1"/>
    <col min="3353" max="3355" width="6.125" style="181" bestFit="1" customWidth="1"/>
    <col min="3356" max="3356" width="9" style="181"/>
    <col min="3357" max="3357" width="9.125" style="181" customWidth="1"/>
    <col min="3358" max="3584" width="9" style="181"/>
    <col min="3585" max="3585" width="4.75" style="181" customWidth="1"/>
    <col min="3586" max="3586" width="6.875" style="181" customWidth="1"/>
    <col min="3587" max="3587" width="18.5" style="181" customWidth="1"/>
    <col min="3588" max="3588" width="10.875" style="181" customWidth="1"/>
    <col min="3589" max="3589" width="6.75" style="181" customWidth="1"/>
    <col min="3590" max="3590" width="9.375" style="181" customWidth="1"/>
    <col min="3591" max="3591" width="8.875" style="181" customWidth="1"/>
    <col min="3592" max="3592" width="14" style="181" customWidth="1"/>
    <col min="3593" max="3593" width="9.375" style="181" customWidth="1"/>
    <col min="3594" max="3594" width="8.625" style="181" customWidth="1"/>
    <col min="3595" max="3595" width="12.875" style="181" customWidth="1"/>
    <col min="3596" max="3596" width="13.375" style="181" bestFit="1" customWidth="1"/>
    <col min="3597" max="3597" width="7.625" style="181" customWidth="1"/>
    <col min="3598" max="3598" width="7.625" style="181" bestFit="1" customWidth="1"/>
    <col min="3599" max="3599" width="4.625" style="181" bestFit="1" customWidth="1"/>
    <col min="3600" max="3601" width="7.625" style="181" customWidth="1"/>
    <col min="3602" max="3602" width="7.625" style="181" bestFit="1" customWidth="1"/>
    <col min="3603" max="3603" width="4.625" style="181" bestFit="1" customWidth="1"/>
    <col min="3604" max="3604" width="9.625" style="181" bestFit="1" customWidth="1"/>
    <col min="3605" max="3605" width="8.75" style="181" bestFit="1" customWidth="1"/>
    <col min="3606" max="3606" width="11.5" style="181" bestFit="1" customWidth="1"/>
    <col min="3607" max="3607" width="6.125" style="181" bestFit="1" customWidth="1"/>
    <col min="3608" max="3608" width="4.625" style="181" bestFit="1" customWidth="1"/>
    <col min="3609" max="3611" width="6.125" style="181" bestFit="1" customWidth="1"/>
    <col min="3612" max="3612" width="9" style="181"/>
    <col min="3613" max="3613" width="9.125" style="181" customWidth="1"/>
    <col min="3614" max="3840" width="9" style="181"/>
    <col min="3841" max="3841" width="4.75" style="181" customWidth="1"/>
    <col min="3842" max="3842" width="6.875" style="181" customWidth="1"/>
    <col min="3843" max="3843" width="18.5" style="181" customWidth="1"/>
    <col min="3844" max="3844" width="10.875" style="181" customWidth="1"/>
    <col min="3845" max="3845" width="6.75" style="181" customWidth="1"/>
    <col min="3846" max="3846" width="9.375" style="181" customWidth="1"/>
    <col min="3847" max="3847" width="8.875" style="181" customWidth="1"/>
    <col min="3848" max="3848" width="14" style="181" customWidth="1"/>
    <col min="3849" max="3849" width="9.375" style="181" customWidth="1"/>
    <col min="3850" max="3850" width="8.625" style="181" customWidth="1"/>
    <col min="3851" max="3851" width="12.875" style="181" customWidth="1"/>
    <col min="3852" max="3852" width="13.375" style="181" bestFit="1" customWidth="1"/>
    <col min="3853" max="3853" width="7.625" style="181" customWidth="1"/>
    <col min="3854" max="3854" width="7.625" style="181" bestFit="1" customWidth="1"/>
    <col min="3855" max="3855" width="4.625" style="181" bestFit="1" customWidth="1"/>
    <col min="3856" max="3857" width="7.625" style="181" customWidth="1"/>
    <col min="3858" max="3858" width="7.625" style="181" bestFit="1" customWidth="1"/>
    <col min="3859" max="3859" width="4.625" style="181" bestFit="1" customWidth="1"/>
    <col min="3860" max="3860" width="9.625" style="181" bestFit="1" customWidth="1"/>
    <col min="3861" max="3861" width="8.75" style="181" bestFit="1" customWidth="1"/>
    <col min="3862" max="3862" width="11.5" style="181" bestFit="1" customWidth="1"/>
    <col min="3863" max="3863" width="6.125" style="181" bestFit="1" customWidth="1"/>
    <col min="3864" max="3864" width="4.625" style="181" bestFit="1" customWidth="1"/>
    <col min="3865" max="3867" width="6.125" style="181" bestFit="1" customWidth="1"/>
    <col min="3868" max="3868" width="9" style="181"/>
    <col min="3869" max="3869" width="9.125" style="181" customWidth="1"/>
    <col min="3870" max="4096" width="9" style="181"/>
    <col min="4097" max="4097" width="4.75" style="181" customWidth="1"/>
    <col min="4098" max="4098" width="6.875" style="181" customWidth="1"/>
    <col min="4099" max="4099" width="18.5" style="181" customWidth="1"/>
    <col min="4100" max="4100" width="10.875" style="181" customWidth="1"/>
    <col min="4101" max="4101" width="6.75" style="181" customWidth="1"/>
    <col min="4102" max="4102" width="9.375" style="181" customWidth="1"/>
    <col min="4103" max="4103" width="8.875" style="181" customWidth="1"/>
    <col min="4104" max="4104" width="14" style="181" customWidth="1"/>
    <col min="4105" max="4105" width="9.375" style="181" customWidth="1"/>
    <col min="4106" max="4106" width="8.625" style="181" customWidth="1"/>
    <col min="4107" max="4107" width="12.875" style="181" customWidth="1"/>
    <col min="4108" max="4108" width="13.375" style="181" bestFit="1" customWidth="1"/>
    <col min="4109" max="4109" width="7.625" style="181" customWidth="1"/>
    <col min="4110" max="4110" width="7.625" style="181" bestFit="1" customWidth="1"/>
    <col min="4111" max="4111" width="4.625" style="181" bestFit="1" customWidth="1"/>
    <col min="4112" max="4113" width="7.625" style="181" customWidth="1"/>
    <col min="4114" max="4114" width="7.625" style="181" bestFit="1" customWidth="1"/>
    <col min="4115" max="4115" width="4.625" style="181" bestFit="1" customWidth="1"/>
    <col min="4116" max="4116" width="9.625" style="181" bestFit="1" customWidth="1"/>
    <col min="4117" max="4117" width="8.75" style="181" bestFit="1" customWidth="1"/>
    <col min="4118" max="4118" width="11.5" style="181" bestFit="1" customWidth="1"/>
    <col min="4119" max="4119" width="6.125" style="181" bestFit="1" customWidth="1"/>
    <col min="4120" max="4120" width="4.625" style="181" bestFit="1" customWidth="1"/>
    <col min="4121" max="4123" width="6.125" style="181" bestFit="1" customWidth="1"/>
    <col min="4124" max="4124" width="9" style="181"/>
    <col min="4125" max="4125" width="9.125" style="181" customWidth="1"/>
    <col min="4126" max="4352" width="9" style="181"/>
    <col min="4353" max="4353" width="4.75" style="181" customWidth="1"/>
    <col min="4354" max="4354" width="6.875" style="181" customWidth="1"/>
    <col min="4355" max="4355" width="18.5" style="181" customWidth="1"/>
    <col min="4356" max="4356" width="10.875" style="181" customWidth="1"/>
    <col min="4357" max="4357" width="6.75" style="181" customWidth="1"/>
    <col min="4358" max="4358" width="9.375" style="181" customWidth="1"/>
    <col min="4359" max="4359" width="8.875" style="181" customWidth="1"/>
    <col min="4360" max="4360" width="14" style="181" customWidth="1"/>
    <col min="4361" max="4361" width="9.375" style="181" customWidth="1"/>
    <col min="4362" max="4362" width="8.625" style="181" customWidth="1"/>
    <col min="4363" max="4363" width="12.875" style="181" customWidth="1"/>
    <col min="4364" max="4364" width="13.375" style="181" bestFit="1" customWidth="1"/>
    <col min="4365" max="4365" width="7.625" style="181" customWidth="1"/>
    <col min="4366" max="4366" width="7.625" style="181" bestFit="1" customWidth="1"/>
    <col min="4367" max="4367" width="4.625" style="181" bestFit="1" customWidth="1"/>
    <col min="4368" max="4369" width="7.625" style="181" customWidth="1"/>
    <col min="4370" max="4370" width="7.625" style="181" bestFit="1" customWidth="1"/>
    <col min="4371" max="4371" width="4.625" style="181" bestFit="1" customWidth="1"/>
    <col min="4372" max="4372" width="9.625" style="181" bestFit="1" customWidth="1"/>
    <col min="4373" max="4373" width="8.75" style="181" bestFit="1" customWidth="1"/>
    <col min="4374" max="4374" width="11.5" style="181" bestFit="1" customWidth="1"/>
    <col min="4375" max="4375" width="6.125" style="181" bestFit="1" customWidth="1"/>
    <col min="4376" max="4376" width="4.625" style="181" bestFit="1" customWidth="1"/>
    <col min="4377" max="4379" width="6.125" style="181" bestFit="1" customWidth="1"/>
    <col min="4380" max="4380" width="9" style="181"/>
    <col min="4381" max="4381" width="9.125" style="181" customWidth="1"/>
    <col min="4382" max="4608" width="9" style="181"/>
    <col min="4609" max="4609" width="4.75" style="181" customWidth="1"/>
    <col min="4610" max="4610" width="6.875" style="181" customWidth="1"/>
    <col min="4611" max="4611" width="18.5" style="181" customWidth="1"/>
    <col min="4612" max="4612" width="10.875" style="181" customWidth="1"/>
    <col min="4613" max="4613" width="6.75" style="181" customWidth="1"/>
    <col min="4614" max="4614" width="9.375" style="181" customWidth="1"/>
    <col min="4615" max="4615" width="8.875" style="181" customWidth="1"/>
    <col min="4616" max="4616" width="14" style="181" customWidth="1"/>
    <col min="4617" max="4617" width="9.375" style="181" customWidth="1"/>
    <col min="4618" max="4618" width="8.625" style="181" customWidth="1"/>
    <col min="4619" max="4619" width="12.875" style="181" customWidth="1"/>
    <col min="4620" max="4620" width="13.375" style="181" bestFit="1" customWidth="1"/>
    <col min="4621" max="4621" width="7.625" style="181" customWidth="1"/>
    <col min="4622" max="4622" width="7.625" style="181" bestFit="1" customWidth="1"/>
    <col min="4623" max="4623" width="4.625" style="181" bestFit="1" customWidth="1"/>
    <col min="4624" max="4625" width="7.625" style="181" customWidth="1"/>
    <col min="4626" max="4626" width="7.625" style="181" bestFit="1" customWidth="1"/>
    <col min="4627" max="4627" width="4.625" style="181" bestFit="1" customWidth="1"/>
    <col min="4628" max="4628" width="9.625" style="181" bestFit="1" customWidth="1"/>
    <col min="4629" max="4629" width="8.75" style="181" bestFit="1" customWidth="1"/>
    <col min="4630" max="4630" width="11.5" style="181" bestFit="1" customWidth="1"/>
    <col min="4631" max="4631" width="6.125" style="181" bestFit="1" customWidth="1"/>
    <col min="4632" max="4632" width="4.625" style="181" bestFit="1" customWidth="1"/>
    <col min="4633" max="4635" width="6.125" style="181" bestFit="1" customWidth="1"/>
    <col min="4636" max="4636" width="9" style="181"/>
    <col min="4637" max="4637" width="9.125" style="181" customWidth="1"/>
    <col min="4638" max="4864" width="9" style="181"/>
    <col min="4865" max="4865" width="4.75" style="181" customWidth="1"/>
    <col min="4866" max="4866" width="6.875" style="181" customWidth="1"/>
    <col min="4867" max="4867" width="18.5" style="181" customWidth="1"/>
    <col min="4868" max="4868" width="10.875" style="181" customWidth="1"/>
    <col min="4869" max="4869" width="6.75" style="181" customWidth="1"/>
    <col min="4870" max="4870" width="9.375" style="181" customWidth="1"/>
    <col min="4871" max="4871" width="8.875" style="181" customWidth="1"/>
    <col min="4872" max="4872" width="14" style="181" customWidth="1"/>
    <col min="4873" max="4873" width="9.375" style="181" customWidth="1"/>
    <col min="4874" max="4874" width="8.625" style="181" customWidth="1"/>
    <col min="4875" max="4875" width="12.875" style="181" customWidth="1"/>
    <col min="4876" max="4876" width="13.375" style="181" bestFit="1" customWidth="1"/>
    <col min="4877" max="4877" width="7.625" style="181" customWidth="1"/>
    <col min="4878" max="4878" width="7.625" style="181" bestFit="1" customWidth="1"/>
    <col min="4879" max="4879" width="4.625" style="181" bestFit="1" customWidth="1"/>
    <col min="4880" max="4881" width="7.625" style="181" customWidth="1"/>
    <col min="4882" max="4882" width="7.625" style="181" bestFit="1" customWidth="1"/>
    <col min="4883" max="4883" width="4.625" style="181" bestFit="1" customWidth="1"/>
    <col min="4884" max="4884" width="9.625" style="181" bestFit="1" customWidth="1"/>
    <col min="4885" max="4885" width="8.75" style="181" bestFit="1" customWidth="1"/>
    <col min="4886" max="4886" width="11.5" style="181" bestFit="1" customWidth="1"/>
    <col min="4887" max="4887" width="6.125" style="181" bestFit="1" customWidth="1"/>
    <col min="4888" max="4888" width="4.625" style="181" bestFit="1" customWidth="1"/>
    <col min="4889" max="4891" width="6.125" style="181" bestFit="1" customWidth="1"/>
    <col min="4892" max="4892" width="9" style="181"/>
    <col min="4893" max="4893" width="9.125" style="181" customWidth="1"/>
    <col min="4894" max="5120" width="9" style="181"/>
    <col min="5121" max="5121" width="4.75" style="181" customWidth="1"/>
    <col min="5122" max="5122" width="6.875" style="181" customWidth="1"/>
    <col min="5123" max="5123" width="18.5" style="181" customWidth="1"/>
    <col min="5124" max="5124" width="10.875" style="181" customWidth="1"/>
    <col min="5125" max="5125" width="6.75" style="181" customWidth="1"/>
    <col min="5126" max="5126" width="9.375" style="181" customWidth="1"/>
    <col min="5127" max="5127" width="8.875" style="181" customWidth="1"/>
    <col min="5128" max="5128" width="14" style="181" customWidth="1"/>
    <col min="5129" max="5129" width="9.375" style="181" customWidth="1"/>
    <col min="5130" max="5130" width="8.625" style="181" customWidth="1"/>
    <col min="5131" max="5131" width="12.875" style="181" customWidth="1"/>
    <col min="5132" max="5132" width="13.375" style="181" bestFit="1" customWidth="1"/>
    <col min="5133" max="5133" width="7.625" style="181" customWidth="1"/>
    <col min="5134" max="5134" width="7.625" style="181" bestFit="1" customWidth="1"/>
    <col min="5135" max="5135" width="4.625" style="181" bestFit="1" customWidth="1"/>
    <col min="5136" max="5137" width="7.625" style="181" customWidth="1"/>
    <col min="5138" max="5138" width="7.625" style="181" bestFit="1" customWidth="1"/>
    <col min="5139" max="5139" width="4.625" style="181" bestFit="1" customWidth="1"/>
    <col min="5140" max="5140" width="9.625" style="181" bestFit="1" customWidth="1"/>
    <col min="5141" max="5141" width="8.75" style="181" bestFit="1" customWidth="1"/>
    <col min="5142" max="5142" width="11.5" style="181" bestFit="1" customWidth="1"/>
    <col min="5143" max="5143" width="6.125" style="181" bestFit="1" customWidth="1"/>
    <col min="5144" max="5144" width="4.625" style="181" bestFit="1" customWidth="1"/>
    <col min="5145" max="5147" width="6.125" style="181" bestFit="1" customWidth="1"/>
    <col min="5148" max="5148" width="9" style="181"/>
    <col min="5149" max="5149" width="9.125" style="181" customWidth="1"/>
    <col min="5150" max="5376" width="9" style="181"/>
    <col min="5377" max="5377" width="4.75" style="181" customWidth="1"/>
    <col min="5378" max="5378" width="6.875" style="181" customWidth="1"/>
    <col min="5379" max="5379" width="18.5" style="181" customWidth="1"/>
    <col min="5380" max="5380" width="10.875" style="181" customWidth="1"/>
    <col min="5381" max="5381" width="6.75" style="181" customWidth="1"/>
    <col min="5382" max="5382" width="9.375" style="181" customWidth="1"/>
    <col min="5383" max="5383" width="8.875" style="181" customWidth="1"/>
    <col min="5384" max="5384" width="14" style="181" customWidth="1"/>
    <col min="5385" max="5385" width="9.375" style="181" customWidth="1"/>
    <col min="5386" max="5386" width="8.625" style="181" customWidth="1"/>
    <col min="5387" max="5387" width="12.875" style="181" customWidth="1"/>
    <col min="5388" max="5388" width="13.375" style="181" bestFit="1" customWidth="1"/>
    <col min="5389" max="5389" width="7.625" style="181" customWidth="1"/>
    <col min="5390" max="5390" width="7.625" style="181" bestFit="1" customWidth="1"/>
    <col min="5391" max="5391" width="4.625" style="181" bestFit="1" customWidth="1"/>
    <col min="5392" max="5393" width="7.625" style="181" customWidth="1"/>
    <col min="5394" max="5394" width="7.625" style="181" bestFit="1" customWidth="1"/>
    <col min="5395" max="5395" width="4.625" style="181" bestFit="1" customWidth="1"/>
    <col min="5396" max="5396" width="9.625" style="181" bestFit="1" customWidth="1"/>
    <col min="5397" max="5397" width="8.75" style="181" bestFit="1" customWidth="1"/>
    <col min="5398" max="5398" width="11.5" style="181" bestFit="1" customWidth="1"/>
    <col min="5399" max="5399" width="6.125" style="181" bestFit="1" customWidth="1"/>
    <col min="5400" max="5400" width="4.625" style="181" bestFit="1" customWidth="1"/>
    <col min="5401" max="5403" width="6.125" style="181" bestFit="1" customWidth="1"/>
    <col min="5404" max="5404" width="9" style="181"/>
    <col min="5405" max="5405" width="9.125" style="181" customWidth="1"/>
    <col min="5406" max="5632" width="9" style="181"/>
    <col min="5633" max="5633" width="4.75" style="181" customWidth="1"/>
    <col min="5634" max="5634" width="6.875" style="181" customWidth="1"/>
    <col min="5635" max="5635" width="18.5" style="181" customWidth="1"/>
    <col min="5636" max="5636" width="10.875" style="181" customWidth="1"/>
    <col min="5637" max="5637" width="6.75" style="181" customWidth="1"/>
    <col min="5638" max="5638" width="9.375" style="181" customWidth="1"/>
    <col min="5639" max="5639" width="8.875" style="181" customWidth="1"/>
    <col min="5640" max="5640" width="14" style="181" customWidth="1"/>
    <col min="5641" max="5641" width="9.375" style="181" customWidth="1"/>
    <col min="5642" max="5642" width="8.625" style="181" customWidth="1"/>
    <col min="5643" max="5643" width="12.875" style="181" customWidth="1"/>
    <col min="5644" max="5644" width="13.375" style="181" bestFit="1" customWidth="1"/>
    <col min="5645" max="5645" width="7.625" style="181" customWidth="1"/>
    <col min="5646" max="5646" width="7.625" style="181" bestFit="1" customWidth="1"/>
    <col min="5647" max="5647" width="4.625" style="181" bestFit="1" customWidth="1"/>
    <col min="5648" max="5649" width="7.625" style="181" customWidth="1"/>
    <col min="5650" max="5650" width="7.625" style="181" bestFit="1" customWidth="1"/>
    <col min="5651" max="5651" width="4.625" style="181" bestFit="1" customWidth="1"/>
    <col min="5652" max="5652" width="9.625" style="181" bestFit="1" customWidth="1"/>
    <col min="5653" max="5653" width="8.75" style="181" bestFit="1" customWidth="1"/>
    <col min="5654" max="5654" width="11.5" style="181" bestFit="1" customWidth="1"/>
    <col min="5655" max="5655" width="6.125" style="181" bestFit="1" customWidth="1"/>
    <col min="5656" max="5656" width="4.625" style="181" bestFit="1" customWidth="1"/>
    <col min="5657" max="5659" width="6.125" style="181" bestFit="1" customWidth="1"/>
    <col min="5660" max="5660" width="9" style="181"/>
    <col min="5661" max="5661" width="9.125" style="181" customWidth="1"/>
    <col min="5662" max="5888" width="9" style="181"/>
    <col min="5889" max="5889" width="4.75" style="181" customWidth="1"/>
    <col min="5890" max="5890" width="6.875" style="181" customWidth="1"/>
    <col min="5891" max="5891" width="18.5" style="181" customWidth="1"/>
    <col min="5892" max="5892" width="10.875" style="181" customWidth="1"/>
    <col min="5893" max="5893" width="6.75" style="181" customWidth="1"/>
    <col min="5894" max="5894" width="9.375" style="181" customWidth="1"/>
    <col min="5895" max="5895" width="8.875" style="181" customWidth="1"/>
    <col min="5896" max="5896" width="14" style="181" customWidth="1"/>
    <col min="5897" max="5897" width="9.375" style="181" customWidth="1"/>
    <col min="5898" max="5898" width="8.625" style="181" customWidth="1"/>
    <col min="5899" max="5899" width="12.875" style="181" customWidth="1"/>
    <col min="5900" max="5900" width="13.375" style="181" bestFit="1" customWidth="1"/>
    <col min="5901" max="5901" width="7.625" style="181" customWidth="1"/>
    <col min="5902" max="5902" width="7.625" style="181" bestFit="1" customWidth="1"/>
    <col min="5903" max="5903" width="4.625" style="181" bestFit="1" customWidth="1"/>
    <col min="5904" max="5905" width="7.625" style="181" customWidth="1"/>
    <col min="5906" max="5906" width="7.625" style="181" bestFit="1" customWidth="1"/>
    <col min="5907" max="5907" width="4.625" style="181" bestFit="1" customWidth="1"/>
    <col min="5908" max="5908" width="9.625" style="181" bestFit="1" customWidth="1"/>
    <col min="5909" max="5909" width="8.75" style="181" bestFit="1" customWidth="1"/>
    <col min="5910" max="5910" width="11.5" style="181" bestFit="1" customWidth="1"/>
    <col min="5911" max="5911" width="6.125" style="181" bestFit="1" customWidth="1"/>
    <col min="5912" max="5912" width="4.625" style="181" bestFit="1" customWidth="1"/>
    <col min="5913" max="5915" width="6.125" style="181" bestFit="1" customWidth="1"/>
    <col min="5916" max="5916" width="9" style="181"/>
    <col min="5917" max="5917" width="9.125" style="181" customWidth="1"/>
    <col min="5918" max="6144" width="9" style="181"/>
    <col min="6145" max="6145" width="4.75" style="181" customWidth="1"/>
    <col min="6146" max="6146" width="6.875" style="181" customWidth="1"/>
    <col min="6147" max="6147" width="18.5" style="181" customWidth="1"/>
    <col min="6148" max="6148" width="10.875" style="181" customWidth="1"/>
    <col min="6149" max="6149" width="6.75" style="181" customWidth="1"/>
    <col min="6150" max="6150" width="9.375" style="181" customWidth="1"/>
    <col min="6151" max="6151" width="8.875" style="181" customWidth="1"/>
    <col min="6152" max="6152" width="14" style="181" customWidth="1"/>
    <col min="6153" max="6153" width="9.375" style="181" customWidth="1"/>
    <col min="6154" max="6154" width="8.625" style="181" customWidth="1"/>
    <col min="6155" max="6155" width="12.875" style="181" customWidth="1"/>
    <col min="6156" max="6156" width="13.375" style="181" bestFit="1" customWidth="1"/>
    <col min="6157" max="6157" width="7.625" style="181" customWidth="1"/>
    <col min="6158" max="6158" width="7.625" style="181" bestFit="1" customWidth="1"/>
    <col min="6159" max="6159" width="4.625" style="181" bestFit="1" customWidth="1"/>
    <col min="6160" max="6161" width="7.625" style="181" customWidth="1"/>
    <col min="6162" max="6162" width="7.625" style="181" bestFit="1" customWidth="1"/>
    <col min="6163" max="6163" width="4.625" style="181" bestFit="1" customWidth="1"/>
    <col min="6164" max="6164" width="9.625" style="181" bestFit="1" customWidth="1"/>
    <col min="6165" max="6165" width="8.75" style="181" bestFit="1" customWidth="1"/>
    <col min="6166" max="6166" width="11.5" style="181" bestFit="1" customWidth="1"/>
    <col min="6167" max="6167" width="6.125" style="181" bestFit="1" customWidth="1"/>
    <col min="6168" max="6168" width="4.625" style="181" bestFit="1" customWidth="1"/>
    <col min="6169" max="6171" width="6.125" style="181" bestFit="1" customWidth="1"/>
    <col min="6172" max="6172" width="9" style="181"/>
    <col min="6173" max="6173" width="9.125" style="181" customWidth="1"/>
    <col min="6174" max="6400" width="9" style="181"/>
    <col min="6401" max="6401" width="4.75" style="181" customWidth="1"/>
    <col min="6402" max="6402" width="6.875" style="181" customWidth="1"/>
    <col min="6403" max="6403" width="18.5" style="181" customWidth="1"/>
    <col min="6404" max="6404" width="10.875" style="181" customWidth="1"/>
    <col min="6405" max="6405" width="6.75" style="181" customWidth="1"/>
    <col min="6406" max="6406" width="9.375" style="181" customWidth="1"/>
    <col min="6407" max="6407" width="8.875" style="181" customWidth="1"/>
    <col min="6408" max="6408" width="14" style="181" customWidth="1"/>
    <col min="6409" max="6409" width="9.375" style="181" customWidth="1"/>
    <col min="6410" max="6410" width="8.625" style="181" customWidth="1"/>
    <col min="6411" max="6411" width="12.875" style="181" customWidth="1"/>
    <col min="6412" max="6412" width="13.375" style="181" bestFit="1" customWidth="1"/>
    <col min="6413" max="6413" width="7.625" style="181" customWidth="1"/>
    <col min="6414" max="6414" width="7.625" style="181" bestFit="1" customWidth="1"/>
    <col min="6415" max="6415" width="4.625" style="181" bestFit="1" customWidth="1"/>
    <col min="6416" max="6417" width="7.625" style="181" customWidth="1"/>
    <col min="6418" max="6418" width="7.625" style="181" bestFit="1" customWidth="1"/>
    <col min="6419" max="6419" width="4.625" style="181" bestFit="1" customWidth="1"/>
    <col min="6420" max="6420" width="9.625" style="181" bestFit="1" customWidth="1"/>
    <col min="6421" max="6421" width="8.75" style="181" bestFit="1" customWidth="1"/>
    <col min="6422" max="6422" width="11.5" style="181" bestFit="1" customWidth="1"/>
    <col min="6423" max="6423" width="6.125" style="181" bestFit="1" customWidth="1"/>
    <col min="6424" max="6424" width="4.625" style="181" bestFit="1" customWidth="1"/>
    <col min="6425" max="6427" width="6.125" style="181" bestFit="1" customWidth="1"/>
    <col min="6428" max="6428" width="9" style="181"/>
    <col min="6429" max="6429" width="9.125" style="181" customWidth="1"/>
    <col min="6430" max="6656" width="9" style="181"/>
    <col min="6657" max="6657" width="4.75" style="181" customWidth="1"/>
    <col min="6658" max="6658" width="6.875" style="181" customWidth="1"/>
    <col min="6659" max="6659" width="18.5" style="181" customWidth="1"/>
    <col min="6660" max="6660" width="10.875" style="181" customWidth="1"/>
    <col min="6661" max="6661" width="6.75" style="181" customWidth="1"/>
    <col min="6662" max="6662" width="9.375" style="181" customWidth="1"/>
    <col min="6663" max="6663" width="8.875" style="181" customWidth="1"/>
    <col min="6664" max="6664" width="14" style="181" customWidth="1"/>
    <col min="6665" max="6665" width="9.375" style="181" customWidth="1"/>
    <col min="6666" max="6666" width="8.625" style="181" customWidth="1"/>
    <col min="6667" max="6667" width="12.875" style="181" customWidth="1"/>
    <col min="6668" max="6668" width="13.375" style="181" bestFit="1" customWidth="1"/>
    <col min="6669" max="6669" width="7.625" style="181" customWidth="1"/>
    <col min="6670" max="6670" width="7.625" style="181" bestFit="1" customWidth="1"/>
    <col min="6671" max="6671" width="4.625" style="181" bestFit="1" customWidth="1"/>
    <col min="6672" max="6673" width="7.625" style="181" customWidth="1"/>
    <col min="6674" max="6674" width="7.625" style="181" bestFit="1" customWidth="1"/>
    <col min="6675" max="6675" width="4.625" style="181" bestFit="1" customWidth="1"/>
    <col min="6676" max="6676" width="9.625" style="181" bestFit="1" customWidth="1"/>
    <col min="6677" max="6677" width="8.75" style="181" bestFit="1" customWidth="1"/>
    <col min="6678" max="6678" width="11.5" style="181" bestFit="1" customWidth="1"/>
    <col min="6679" max="6679" width="6.125" style="181" bestFit="1" customWidth="1"/>
    <col min="6680" max="6680" width="4.625" style="181" bestFit="1" customWidth="1"/>
    <col min="6681" max="6683" width="6.125" style="181" bestFit="1" customWidth="1"/>
    <col min="6684" max="6684" width="9" style="181"/>
    <col min="6685" max="6685" width="9.125" style="181" customWidth="1"/>
    <col min="6686" max="6912" width="9" style="181"/>
    <col min="6913" max="6913" width="4.75" style="181" customWidth="1"/>
    <col min="6914" max="6914" width="6.875" style="181" customWidth="1"/>
    <col min="6915" max="6915" width="18.5" style="181" customWidth="1"/>
    <col min="6916" max="6916" width="10.875" style="181" customWidth="1"/>
    <col min="6917" max="6917" width="6.75" style="181" customWidth="1"/>
    <col min="6918" max="6918" width="9.375" style="181" customWidth="1"/>
    <col min="6919" max="6919" width="8.875" style="181" customWidth="1"/>
    <col min="6920" max="6920" width="14" style="181" customWidth="1"/>
    <col min="6921" max="6921" width="9.375" style="181" customWidth="1"/>
    <col min="6922" max="6922" width="8.625" style="181" customWidth="1"/>
    <col min="6923" max="6923" width="12.875" style="181" customWidth="1"/>
    <col min="6924" max="6924" width="13.375" style="181" bestFit="1" customWidth="1"/>
    <col min="6925" max="6925" width="7.625" style="181" customWidth="1"/>
    <col min="6926" max="6926" width="7.625" style="181" bestFit="1" customWidth="1"/>
    <col min="6927" max="6927" width="4.625" style="181" bestFit="1" customWidth="1"/>
    <col min="6928" max="6929" width="7.625" style="181" customWidth="1"/>
    <col min="6930" max="6930" width="7.625" style="181" bestFit="1" customWidth="1"/>
    <col min="6931" max="6931" width="4.625" style="181" bestFit="1" customWidth="1"/>
    <col min="6932" max="6932" width="9.625" style="181" bestFit="1" customWidth="1"/>
    <col min="6933" max="6933" width="8.75" style="181" bestFit="1" customWidth="1"/>
    <col min="6934" max="6934" width="11.5" style="181" bestFit="1" customWidth="1"/>
    <col min="6935" max="6935" width="6.125" style="181" bestFit="1" customWidth="1"/>
    <col min="6936" max="6936" width="4.625" style="181" bestFit="1" customWidth="1"/>
    <col min="6937" max="6939" width="6.125" style="181" bestFit="1" customWidth="1"/>
    <col min="6940" max="6940" width="9" style="181"/>
    <col min="6941" max="6941" width="9.125" style="181" customWidth="1"/>
    <col min="6942" max="7168" width="9" style="181"/>
    <col min="7169" max="7169" width="4.75" style="181" customWidth="1"/>
    <col min="7170" max="7170" width="6.875" style="181" customWidth="1"/>
    <col min="7171" max="7171" width="18.5" style="181" customWidth="1"/>
    <col min="7172" max="7172" width="10.875" style="181" customWidth="1"/>
    <col min="7173" max="7173" width="6.75" style="181" customWidth="1"/>
    <col min="7174" max="7174" width="9.375" style="181" customWidth="1"/>
    <col min="7175" max="7175" width="8.875" style="181" customWidth="1"/>
    <col min="7176" max="7176" width="14" style="181" customWidth="1"/>
    <col min="7177" max="7177" width="9.375" style="181" customWidth="1"/>
    <col min="7178" max="7178" width="8.625" style="181" customWidth="1"/>
    <col min="7179" max="7179" width="12.875" style="181" customWidth="1"/>
    <col min="7180" max="7180" width="13.375" style="181" bestFit="1" customWidth="1"/>
    <col min="7181" max="7181" width="7.625" style="181" customWidth="1"/>
    <col min="7182" max="7182" width="7.625" style="181" bestFit="1" customWidth="1"/>
    <col min="7183" max="7183" width="4.625" style="181" bestFit="1" customWidth="1"/>
    <col min="7184" max="7185" width="7.625" style="181" customWidth="1"/>
    <col min="7186" max="7186" width="7.625" style="181" bestFit="1" customWidth="1"/>
    <col min="7187" max="7187" width="4.625" style="181" bestFit="1" customWidth="1"/>
    <col min="7188" max="7188" width="9.625" style="181" bestFit="1" customWidth="1"/>
    <col min="7189" max="7189" width="8.75" style="181" bestFit="1" customWidth="1"/>
    <col min="7190" max="7190" width="11.5" style="181" bestFit="1" customWidth="1"/>
    <col min="7191" max="7191" width="6.125" style="181" bestFit="1" customWidth="1"/>
    <col min="7192" max="7192" width="4.625" style="181" bestFit="1" customWidth="1"/>
    <col min="7193" max="7195" width="6.125" style="181" bestFit="1" customWidth="1"/>
    <col min="7196" max="7196" width="9" style="181"/>
    <col min="7197" max="7197" width="9.125" style="181" customWidth="1"/>
    <col min="7198" max="7424" width="9" style="181"/>
    <col min="7425" max="7425" width="4.75" style="181" customWidth="1"/>
    <col min="7426" max="7426" width="6.875" style="181" customWidth="1"/>
    <col min="7427" max="7427" width="18.5" style="181" customWidth="1"/>
    <col min="7428" max="7428" width="10.875" style="181" customWidth="1"/>
    <col min="7429" max="7429" width="6.75" style="181" customWidth="1"/>
    <col min="7430" max="7430" width="9.375" style="181" customWidth="1"/>
    <col min="7431" max="7431" width="8.875" style="181" customWidth="1"/>
    <col min="7432" max="7432" width="14" style="181" customWidth="1"/>
    <col min="7433" max="7433" width="9.375" style="181" customWidth="1"/>
    <col min="7434" max="7434" width="8.625" style="181" customWidth="1"/>
    <col min="7435" max="7435" width="12.875" style="181" customWidth="1"/>
    <col min="7436" max="7436" width="13.375" style="181" bestFit="1" customWidth="1"/>
    <col min="7437" max="7437" width="7.625" style="181" customWidth="1"/>
    <col min="7438" max="7438" width="7.625" style="181" bestFit="1" customWidth="1"/>
    <col min="7439" max="7439" width="4.625" style="181" bestFit="1" customWidth="1"/>
    <col min="7440" max="7441" width="7.625" style="181" customWidth="1"/>
    <col min="7442" max="7442" width="7.625" style="181" bestFit="1" customWidth="1"/>
    <col min="7443" max="7443" width="4.625" style="181" bestFit="1" customWidth="1"/>
    <col min="7444" max="7444" width="9.625" style="181" bestFit="1" customWidth="1"/>
    <col min="7445" max="7445" width="8.75" style="181" bestFit="1" customWidth="1"/>
    <col min="7446" max="7446" width="11.5" style="181" bestFit="1" customWidth="1"/>
    <col min="7447" max="7447" width="6.125" style="181" bestFit="1" customWidth="1"/>
    <col min="7448" max="7448" width="4.625" style="181" bestFit="1" customWidth="1"/>
    <col min="7449" max="7451" width="6.125" style="181" bestFit="1" customWidth="1"/>
    <col min="7452" max="7452" width="9" style="181"/>
    <col min="7453" max="7453" width="9.125" style="181" customWidth="1"/>
    <col min="7454" max="7680" width="9" style="181"/>
    <col min="7681" max="7681" width="4.75" style="181" customWidth="1"/>
    <col min="7682" max="7682" width="6.875" style="181" customWidth="1"/>
    <col min="7683" max="7683" width="18.5" style="181" customWidth="1"/>
    <col min="7684" max="7684" width="10.875" style="181" customWidth="1"/>
    <col min="7685" max="7685" width="6.75" style="181" customWidth="1"/>
    <col min="7686" max="7686" width="9.375" style="181" customWidth="1"/>
    <col min="7687" max="7687" width="8.875" style="181" customWidth="1"/>
    <col min="7688" max="7688" width="14" style="181" customWidth="1"/>
    <col min="7689" max="7689" width="9.375" style="181" customWidth="1"/>
    <col min="7690" max="7690" width="8.625" style="181" customWidth="1"/>
    <col min="7691" max="7691" width="12.875" style="181" customWidth="1"/>
    <col min="7692" max="7692" width="13.375" style="181" bestFit="1" customWidth="1"/>
    <col min="7693" max="7693" width="7.625" style="181" customWidth="1"/>
    <col min="7694" max="7694" width="7.625" style="181" bestFit="1" customWidth="1"/>
    <col min="7695" max="7695" width="4.625" style="181" bestFit="1" customWidth="1"/>
    <col min="7696" max="7697" width="7.625" style="181" customWidth="1"/>
    <col min="7698" max="7698" width="7.625" style="181" bestFit="1" customWidth="1"/>
    <col min="7699" max="7699" width="4.625" style="181" bestFit="1" customWidth="1"/>
    <col min="7700" max="7700" width="9.625" style="181" bestFit="1" customWidth="1"/>
    <col min="7701" max="7701" width="8.75" style="181" bestFit="1" customWidth="1"/>
    <col min="7702" max="7702" width="11.5" style="181" bestFit="1" customWidth="1"/>
    <col min="7703" max="7703" width="6.125" style="181" bestFit="1" customWidth="1"/>
    <col min="7704" max="7704" width="4.625" style="181" bestFit="1" customWidth="1"/>
    <col min="7705" max="7707" width="6.125" style="181" bestFit="1" customWidth="1"/>
    <col min="7708" max="7708" width="9" style="181"/>
    <col min="7709" max="7709" width="9.125" style="181" customWidth="1"/>
    <col min="7710" max="7936" width="9" style="181"/>
    <col min="7937" max="7937" width="4.75" style="181" customWidth="1"/>
    <col min="7938" max="7938" width="6.875" style="181" customWidth="1"/>
    <col min="7939" max="7939" width="18.5" style="181" customWidth="1"/>
    <col min="7940" max="7940" width="10.875" style="181" customWidth="1"/>
    <col min="7941" max="7941" width="6.75" style="181" customWidth="1"/>
    <col min="7942" max="7942" width="9.375" style="181" customWidth="1"/>
    <col min="7943" max="7943" width="8.875" style="181" customWidth="1"/>
    <col min="7944" max="7944" width="14" style="181" customWidth="1"/>
    <col min="7945" max="7945" width="9.375" style="181" customWidth="1"/>
    <col min="7946" max="7946" width="8.625" style="181" customWidth="1"/>
    <col min="7947" max="7947" width="12.875" style="181" customWidth="1"/>
    <col min="7948" max="7948" width="13.375" style="181" bestFit="1" customWidth="1"/>
    <col min="7949" max="7949" width="7.625" style="181" customWidth="1"/>
    <col min="7950" max="7950" width="7.625" style="181" bestFit="1" customWidth="1"/>
    <col min="7951" max="7951" width="4.625" style="181" bestFit="1" customWidth="1"/>
    <col min="7952" max="7953" width="7.625" style="181" customWidth="1"/>
    <col min="7954" max="7954" width="7.625" style="181" bestFit="1" customWidth="1"/>
    <col min="7955" max="7955" width="4.625" style="181" bestFit="1" customWidth="1"/>
    <col min="7956" max="7956" width="9.625" style="181" bestFit="1" customWidth="1"/>
    <col min="7957" max="7957" width="8.75" style="181" bestFit="1" customWidth="1"/>
    <col min="7958" max="7958" width="11.5" style="181" bestFit="1" customWidth="1"/>
    <col min="7959" max="7959" width="6.125" style="181" bestFit="1" customWidth="1"/>
    <col min="7960" max="7960" width="4.625" style="181" bestFit="1" customWidth="1"/>
    <col min="7961" max="7963" width="6.125" style="181" bestFit="1" customWidth="1"/>
    <col min="7964" max="7964" width="9" style="181"/>
    <col min="7965" max="7965" width="9.125" style="181" customWidth="1"/>
    <col min="7966" max="8192" width="9" style="181"/>
    <col min="8193" max="8193" width="4.75" style="181" customWidth="1"/>
    <col min="8194" max="8194" width="6.875" style="181" customWidth="1"/>
    <col min="8195" max="8195" width="18.5" style="181" customWidth="1"/>
    <col min="8196" max="8196" width="10.875" style="181" customWidth="1"/>
    <col min="8197" max="8197" width="6.75" style="181" customWidth="1"/>
    <col min="8198" max="8198" width="9.375" style="181" customWidth="1"/>
    <col min="8199" max="8199" width="8.875" style="181" customWidth="1"/>
    <col min="8200" max="8200" width="14" style="181" customWidth="1"/>
    <col min="8201" max="8201" width="9.375" style="181" customWidth="1"/>
    <col min="8202" max="8202" width="8.625" style="181" customWidth="1"/>
    <col min="8203" max="8203" width="12.875" style="181" customWidth="1"/>
    <col min="8204" max="8204" width="13.375" style="181" bestFit="1" customWidth="1"/>
    <col min="8205" max="8205" width="7.625" style="181" customWidth="1"/>
    <col min="8206" max="8206" width="7.625" style="181" bestFit="1" customWidth="1"/>
    <col min="8207" max="8207" width="4.625" style="181" bestFit="1" customWidth="1"/>
    <col min="8208" max="8209" width="7.625" style="181" customWidth="1"/>
    <col min="8210" max="8210" width="7.625" style="181" bestFit="1" customWidth="1"/>
    <col min="8211" max="8211" width="4.625" style="181" bestFit="1" customWidth="1"/>
    <col min="8212" max="8212" width="9.625" style="181" bestFit="1" customWidth="1"/>
    <col min="8213" max="8213" width="8.75" style="181" bestFit="1" customWidth="1"/>
    <col min="8214" max="8214" width="11.5" style="181" bestFit="1" customWidth="1"/>
    <col min="8215" max="8215" width="6.125" style="181" bestFit="1" customWidth="1"/>
    <col min="8216" max="8216" width="4.625" style="181" bestFit="1" customWidth="1"/>
    <col min="8217" max="8219" width="6.125" style="181" bestFit="1" customWidth="1"/>
    <col min="8220" max="8220" width="9" style="181"/>
    <col min="8221" max="8221" width="9.125" style="181" customWidth="1"/>
    <col min="8222" max="8448" width="9" style="181"/>
    <col min="8449" max="8449" width="4.75" style="181" customWidth="1"/>
    <col min="8450" max="8450" width="6.875" style="181" customWidth="1"/>
    <col min="8451" max="8451" width="18.5" style="181" customWidth="1"/>
    <col min="8452" max="8452" width="10.875" style="181" customWidth="1"/>
    <col min="8453" max="8453" width="6.75" style="181" customWidth="1"/>
    <col min="8454" max="8454" width="9.375" style="181" customWidth="1"/>
    <col min="8455" max="8455" width="8.875" style="181" customWidth="1"/>
    <col min="8456" max="8456" width="14" style="181" customWidth="1"/>
    <col min="8457" max="8457" width="9.375" style="181" customWidth="1"/>
    <col min="8458" max="8458" width="8.625" style="181" customWidth="1"/>
    <col min="8459" max="8459" width="12.875" style="181" customWidth="1"/>
    <col min="8460" max="8460" width="13.375" style="181" bestFit="1" customWidth="1"/>
    <col min="8461" max="8461" width="7.625" style="181" customWidth="1"/>
    <col min="8462" max="8462" width="7.625" style="181" bestFit="1" customWidth="1"/>
    <col min="8463" max="8463" width="4.625" style="181" bestFit="1" customWidth="1"/>
    <col min="8464" max="8465" width="7.625" style="181" customWidth="1"/>
    <col min="8466" max="8466" width="7.625" style="181" bestFit="1" customWidth="1"/>
    <col min="8467" max="8467" width="4.625" style="181" bestFit="1" customWidth="1"/>
    <col min="8468" max="8468" width="9.625" style="181" bestFit="1" customWidth="1"/>
    <col min="8469" max="8469" width="8.75" style="181" bestFit="1" customWidth="1"/>
    <col min="8470" max="8470" width="11.5" style="181" bestFit="1" customWidth="1"/>
    <col min="8471" max="8471" width="6.125" style="181" bestFit="1" customWidth="1"/>
    <col min="8472" max="8472" width="4.625" style="181" bestFit="1" customWidth="1"/>
    <col min="8473" max="8475" width="6.125" style="181" bestFit="1" customWidth="1"/>
    <col min="8476" max="8476" width="9" style="181"/>
    <col min="8477" max="8477" width="9.125" style="181" customWidth="1"/>
    <col min="8478" max="8704" width="9" style="181"/>
    <col min="8705" max="8705" width="4.75" style="181" customWidth="1"/>
    <col min="8706" max="8706" width="6.875" style="181" customWidth="1"/>
    <col min="8707" max="8707" width="18.5" style="181" customWidth="1"/>
    <col min="8708" max="8708" width="10.875" style="181" customWidth="1"/>
    <col min="8709" max="8709" width="6.75" style="181" customWidth="1"/>
    <col min="8710" max="8710" width="9.375" style="181" customWidth="1"/>
    <col min="8711" max="8711" width="8.875" style="181" customWidth="1"/>
    <col min="8712" max="8712" width="14" style="181" customWidth="1"/>
    <col min="8713" max="8713" width="9.375" style="181" customWidth="1"/>
    <col min="8714" max="8714" width="8.625" style="181" customWidth="1"/>
    <col min="8715" max="8715" width="12.875" style="181" customWidth="1"/>
    <col min="8716" max="8716" width="13.375" style="181" bestFit="1" customWidth="1"/>
    <col min="8717" max="8717" width="7.625" style="181" customWidth="1"/>
    <col min="8718" max="8718" width="7.625" style="181" bestFit="1" customWidth="1"/>
    <col min="8719" max="8719" width="4.625" style="181" bestFit="1" customWidth="1"/>
    <col min="8720" max="8721" width="7.625" style="181" customWidth="1"/>
    <col min="8722" max="8722" width="7.625" style="181" bestFit="1" customWidth="1"/>
    <col min="8723" max="8723" width="4.625" style="181" bestFit="1" customWidth="1"/>
    <col min="8724" max="8724" width="9.625" style="181" bestFit="1" customWidth="1"/>
    <col min="8725" max="8725" width="8.75" style="181" bestFit="1" customWidth="1"/>
    <col min="8726" max="8726" width="11.5" style="181" bestFit="1" customWidth="1"/>
    <col min="8727" max="8727" width="6.125" style="181" bestFit="1" customWidth="1"/>
    <col min="8728" max="8728" width="4.625" style="181" bestFit="1" customWidth="1"/>
    <col min="8729" max="8731" width="6.125" style="181" bestFit="1" customWidth="1"/>
    <col min="8732" max="8732" width="9" style="181"/>
    <col min="8733" max="8733" width="9.125" style="181" customWidth="1"/>
    <col min="8734" max="8960" width="9" style="181"/>
    <col min="8961" max="8961" width="4.75" style="181" customWidth="1"/>
    <col min="8962" max="8962" width="6.875" style="181" customWidth="1"/>
    <col min="8963" max="8963" width="18.5" style="181" customWidth="1"/>
    <col min="8964" max="8964" width="10.875" style="181" customWidth="1"/>
    <col min="8965" max="8965" width="6.75" style="181" customWidth="1"/>
    <col min="8966" max="8966" width="9.375" style="181" customWidth="1"/>
    <col min="8967" max="8967" width="8.875" style="181" customWidth="1"/>
    <col min="8968" max="8968" width="14" style="181" customWidth="1"/>
    <col min="8969" max="8969" width="9.375" style="181" customWidth="1"/>
    <col min="8970" max="8970" width="8.625" style="181" customWidth="1"/>
    <col min="8971" max="8971" width="12.875" style="181" customWidth="1"/>
    <col min="8972" max="8972" width="13.375" style="181" bestFit="1" customWidth="1"/>
    <col min="8973" max="8973" width="7.625" style="181" customWidth="1"/>
    <col min="8974" max="8974" width="7.625" style="181" bestFit="1" customWidth="1"/>
    <col min="8975" max="8975" width="4.625" style="181" bestFit="1" customWidth="1"/>
    <col min="8976" max="8977" width="7.625" style="181" customWidth="1"/>
    <col min="8978" max="8978" width="7.625" style="181" bestFit="1" customWidth="1"/>
    <col min="8979" max="8979" width="4.625" style="181" bestFit="1" customWidth="1"/>
    <col min="8980" max="8980" width="9.625" style="181" bestFit="1" customWidth="1"/>
    <col min="8981" max="8981" width="8.75" style="181" bestFit="1" customWidth="1"/>
    <col min="8982" max="8982" width="11.5" style="181" bestFit="1" customWidth="1"/>
    <col min="8983" max="8983" width="6.125" style="181" bestFit="1" customWidth="1"/>
    <col min="8984" max="8984" width="4.625" style="181" bestFit="1" customWidth="1"/>
    <col min="8985" max="8987" width="6.125" style="181" bestFit="1" customWidth="1"/>
    <col min="8988" max="8988" width="9" style="181"/>
    <col min="8989" max="8989" width="9.125" style="181" customWidth="1"/>
    <col min="8990" max="9216" width="9" style="181"/>
    <col min="9217" max="9217" width="4.75" style="181" customWidth="1"/>
    <col min="9218" max="9218" width="6.875" style="181" customWidth="1"/>
    <col min="9219" max="9219" width="18.5" style="181" customWidth="1"/>
    <col min="9220" max="9220" width="10.875" style="181" customWidth="1"/>
    <col min="9221" max="9221" width="6.75" style="181" customWidth="1"/>
    <col min="9222" max="9222" width="9.375" style="181" customWidth="1"/>
    <col min="9223" max="9223" width="8.875" style="181" customWidth="1"/>
    <col min="9224" max="9224" width="14" style="181" customWidth="1"/>
    <col min="9225" max="9225" width="9.375" style="181" customWidth="1"/>
    <col min="9226" max="9226" width="8.625" style="181" customWidth="1"/>
    <col min="9227" max="9227" width="12.875" style="181" customWidth="1"/>
    <col min="9228" max="9228" width="13.375" style="181" bestFit="1" customWidth="1"/>
    <col min="9229" max="9229" width="7.625" style="181" customWidth="1"/>
    <col min="9230" max="9230" width="7.625" style="181" bestFit="1" customWidth="1"/>
    <col min="9231" max="9231" width="4.625" style="181" bestFit="1" customWidth="1"/>
    <col min="9232" max="9233" width="7.625" style="181" customWidth="1"/>
    <col min="9234" max="9234" width="7.625" style="181" bestFit="1" customWidth="1"/>
    <col min="9235" max="9235" width="4.625" style="181" bestFit="1" customWidth="1"/>
    <col min="9236" max="9236" width="9.625" style="181" bestFit="1" customWidth="1"/>
    <col min="9237" max="9237" width="8.75" style="181" bestFit="1" customWidth="1"/>
    <col min="9238" max="9238" width="11.5" style="181" bestFit="1" customWidth="1"/>
    <col min="9239" max="9239" width="6.125" style="181" bestFit="1" customWidth="1"/>
    <col min="9240" max="9240" width="4.625" style="181" bestFit="1" customWidth="1"/>
    <col min="9241" max="9243" width="6.125" style="181" bestFit="1" customWidth="1"/>
    <col min="9244" max="9244" width="9" style="181"/>
    <col min="9245" max="9245" width="9.125" style="181" customWidth="1"/>
    <col min="9246" max="9472" width="9" style="181"/>
    <col min="9473" max="9473" width="4.75" style="181" customWidth="1"/>
    <col min="9474" max="9474" width="6.875" style="181" customWidth="1"/>
    <col min="9475" max="9475" width="18.5" style="181" customWidth="1"/>
    <col min="9476" max="9476" width="10.875" style="181" customWidth="1"/>
    <col min="9477" max="9477" width="6.75" style="181" customWidth="1"/>
    <col min="9478" max="9478" width="9.375" style="181" customWidth="1"/>
    <col min="9479" max="9479" width="8.875" style="181" customWidth="1"/>
    <col min="9480" max="9480" width="14" style="181" customWidth="1"/>
    <col min="9481" max="9481" width="9.375" style="181" customWidth="1"/>
    <col min="9482" max="9482" width="8.625" style="181" customWidth="1"/>
    <col min="9483" max="9483" width="12.875" style="181" customWidth="1"/>
    <col min="9484" max="9484" width="13.375" style="181" bestFit="1" customWidth="1"/>
    <col min="9485" max="9485" width="7.625" style="181" customWidth="1"/>
    <col min="9486" max="9486" width="7.625" style="181" bestFit="1" customWidth="1"/>
    <col min="9487" max="9487" width="4.625" style="181" bestFit="1" customWidth="1"/>
    <col min="9488" max="9489" width="7.625" style="181" customWidth="1"/>
    <col min="9490" max="9490" width="7.625" style="181" bestFit="1" customWidth="1"/>
    <col min="9491" max="9491" width="4.625" style="181" bestFit="1" customWidth="1"/>
    <col min="9492" max="9492" width="9.625" style="181" bestFit="1" customWidth="1"/>
    <col min="9493" max="9493" width="8.75" style="181" bestFit="1" customWidth="1"/>
    <col min="9494" max="9494" width="11.5" style="181" bestFit="1" customWidth="1"/>
    <col min="9495" max="9495" width="6.125" style="181" bestFit="1" customWidth="1"/>
    <col min="9496" max="9496" width="4.625" style="181" bestFit="1" customWidth="1"/>
    <col min="9497" max="9499" width="6.125" style="181" bestFit="1" customWidth="1"/>
    <col min="9500" max="9500" width="9" style="181"/>
    <col min="9501" max="9501" width="9.125" style="181" customWidth="1"/>
    <col min="9502" max="9728" width="9" style="181"/>
    <col min="9729" max="9729" width="4.75" style="181" customWidth="1"/>
    <col min="9730" max="9730" width="6.875" style="181" customWidth="1"/>
    <col min="9731" max="9731" width="18.5" style="181" customWidth="1"/>
    <col min="9732" max="9732" width="10.875" style="181" customWidth="1"/>
    <col min="9733" max="9733" width="6.75" style="181" customWidth="1"/>
    <col min="9734" max="9734" width="9.375" style="181" customWidth="1"/>
    <col min="9735" max="9735" width="8.875" style="181" customWidth="1"/>
    <col min="9736" max="9736" width="14" style="181" customWidth="1"/>
    <col min="9737" max="9737" width="9.375" style="181" customWidth="1"/>
    <col min="9738" max="9738" width="8.625" style="181" customWidth="1"/>
    <col min="9739" max="9739" width="12.875" style="181" customWidth="1"/>
    <col min="9740" max="9740" width="13.375" style="181" bestFit="1" customWidth="1"/>
    <col min="9741" max="9741" width="7.625" style="181" customWidth="1"/>
    <col min="9742" max="9742" width="7.625" style="181" bestFit="1" customWidth="1"/>
    <col min="9743" max="9743" width="4.625" style="181" bestFit="1" customWidth="1"/>
    <col min="9744" max="9745" width="7.625" style="181" customWidth="1"/>
    <col min="9746" max="9746" width="7.625" style="181" bestFit="1" customWidth="1"/>
    <col min="9747" max="9747" width="4.625" style="181" bestFit="1" customWidth="1"/>
    <col min="9748" max="9748" width="9.625" style="181" bestFit="1" customWidth="1"/>
    <col min="9749" max="9749" width="8.75" style="181" bestFit="1" customWidth="1"/>
    <col min="9750" max="9750" width="11.5" style="181" bestFit="1" customWidth="1"/>
    <col min="9751" max="9751" width="6.125" style="181" bestFit="1" customWidth="1"/>
    <col min="9752" max="9752" width="4.625" style="181" bestFit="1" customWidth="1"/>
    <col min="9753" max="9755" width="6.125" style="181" bestFit="1" customWidth="1"/>
    <col min="9756" max="9756" width="9" style="181"/>
    <col min="9757" max="9757" width="9.125" style="181" customWidth="1"/>
    <col min="9758" max="9984" width="9" style="181"/>
    <col min="9985" max="9985" width="4.75" style="181" customWidth="1"/>
    <col min="9986" max="9986" width="6.875" style="181" customWidth="1"/>
    <col min="9987" max="9987" width="18.5" style="181" customWidth="1"/>
    <col min="9988" max="9988" width="10.875" style="181" customWidth="1"/>
    <col min="9989" max="9989" width="6.75" style="181" customWidth="1"/>
    <col min="9990" max="9990" width="9.375" style="181" customWidth="1"/>
    <col min="9991" max="9991" width="8.875" style="181" customWidth="1"/>
    <col min="9992" max="9992" width="14" style="181" customWidth="1"/>
    <col min="9993" max="9993" width="9.375" style="181" customWidth="1"/>
    <col min="9994" max="9994" width="8.625" style="181" customWidth="1"/>
    <col min="9995" max="9995" width="12.875" style="181" customWidth="1"/>
    <col min="9996" max="9996" width="13.375" style="181" bestFit="1" customWidth="1"/>
    <col min="9997" max="9997" width="7.625" style="181" customWidth="1"/>
    <col min="9998" max="9998" width="7.625" style="181" bestFit="1" customWidth="1"/>
    <col min="9999" max="9999" width="4.625" style="181" bestFit="1" customWidth="1"/>
    <col min="10000" max="10001" width="7.625" style="181" customWidth="1"/>
    <col min="10002" max="10002" width="7.625" style="181" bestFit="1" customWidth="1"/>
    <col min="10003" max="10003" width="4.625" style="181" bestFit="1" customWidth="1"/>
    <col min="10004" max="10004" width="9.625" style="181" bestFit="1" customWidth="1"/>
    <col min="10005" max="10005" width="8.75" style="181" bestFit="1" customWidth="1"/>
    <col min="10006" max="10006" width="11.5" style="181" bestFit="1" customWidth="1"/>
    <col min="10007" max="10007" width="6.125" style="181" bestFit="1" customWidth="1"/>
    <col min="10008" max="10008" width="4.625" style="181" bestFit="1" customWidth="1"/>
    <col min="10009" max="10011" width="6.125" style="181" bestFit="1" customWidth="1"/>
    <col min="10012" max="10012" width="9" style="181"/>
    <col min="10013" max="10013" width="9.125" style="181" customWidth="1"/>
    <col min="10014" max="10240" width="9" style="181"/>
    <col min="10241" max="10241" width="4.75" style="181" customWidth="1"/>
    <col min="10242" max="10242" width="6.875" style="181" customWidth="1"/>
    <col min="10243" max="10243" width="18.5" style="181" customWidth="1"/>
    <col min="10244" max="10244" width="10.875" style="181" customWidth="1"/>
    <col min="10245" max="10245" width="6.75" style="181" customWidth="1"/>
    <col min="10246" max="10246" width="9.375" style="181" customWidth="1"/>
    <col min="10247" max="10247" width="8.875" style="181" customWidth="1"/>
    <col min="10248" max="10248" width="14" style="181" customWidth="1"/>
    <col min="10249" max="10249" width="9.375" style="181" customWidth="1"/>
    <col min="10250" max="10250" width="8.625" style="181" customWidth="1"/>
    <col min="10251" max="10251" width="12.875" style="181" customWidth="1"/>
    <col min="10252" max="10252" width="13.375" style="181" bestFit="1" customWidth="1"/>
    <col min="10253" max="10253" width="7.625" style="181" customWidth="1"/>
    <col min="10254" max="10254" width="7.625" style="181" bestFit="1" customWidth="1"/>
    <col min="10255" max="10255" width="4.625" style="181" bestFit="1" customWidth="1"/>
    <col min="10256" max="10257" width="7.625" style="181" customWidth="1"/>
    <col min="10258" max="10258" width="7.625" style="181" bestFit="1" customWidth="1"/>
    <col min="10259" max="10259" width="4.625" style="181" bestFit="1" customWidth="1"/>
    <col min="10260" max="10260" width="9.625" style="181" bestFit="1" customWidth="1"/>
    <col min="10261" max="10261" width="8.75" style="181" bestFit="1" customWidth="1"/>
    <col min="10262" max="10262" width="11.5" style="181" bestFit="1" customWidth="1"/>
    <col min="10263" max="10263" width="6.125" style="181" bestFit="1" customWidth="1"/>
    <col min="10264" max="10264" width="4.625" style="181" bestFit="1" customWidth="1"/>
    <col min="10265" max="10267" width="6.125" style="181" bestFit="1" customWidth="1"/>
    <col min="10268" max="10268" width="9" style="181"/>
    <col min="10269" max="10269" width="9.125" style="181" customWidth="1"/>
    <col min="10270" max="10496" width="9" style="181"/>
    <col min="10497" max="10497" width="4.75" style="181" customWidth="1"/>
    <col min="10498" max="10498" width="6.875" style="181" customWidth="1"/>
    <col min="10499" max="10499" width="18.5" style="181" customWidth="1"/>
    <col min="10500" max="10500" width="10.875" style="181" customWidth="1"/>
    <col min="10501" max="10501" width="6.75" style="181" customWidth="1"/>
    <col min="10502" max="10502" width="9.375" style="181" customWidth="1"/>
    <col min="10503" max="10503" width="8.875" style="181" customWidth="1"/>
    <col min="10504" max="10504" width="14" style="181" customWidth="1"/>
    <col min="10505" max="10505" width="9.375" style="181" customWidth="1"/>
    <col min="10506" max="10506" width="8.625" style="181" customWidth="1"/>
    <col min="10507" max="10507" width="12.875" style="181" customWidth="1"/>
    <col min="10508" max="10508" width="13.375" style="181" bestFit="1" customWidth="1"/>
    <col min="10509" max="10509" width="7.625" style="181" customWidth="1"/>
    <col min="10510" max="10510" width="7.625" style="181" bestFit="1" customWidth="1"/>
    <col min="10511" max="10511" width="4.625" style="181" bestFit="1" customWidth="1"/>
    <col min="10512" max="10513" width="7.625" style="181" customWidth="1"/>
    <col min="10514" max="10514" width="7.625" style="181" bestFit="1" customWidth="1"/>
    <col min="10515" max="10515" width="4.625" style="181" bestFit="1" customWidth="1"/>
    <col min="10516" max="10516" width="9.625" style="181" bestFit="1" customWidth="1"/>
    <col min="10517" max="10517" width="8.75" style="181" bestFit="1" customWidth="1"/>
    <col min="10518" max="10518" width="11.5" style="181" bestFit="1" customWidth="1"/>
    <col min="10519" max="10519" width="6.125" style="181" bestFit="1" customWidth="1"/>
    <col min="10520" max="10520" width="4.625" style="181" bestFit="1" customWidth="1"/>
    <col min="10521" max="10523" width="6.125" style="181" bestFit="1" customWidth="1"/>
    <col min="10524" max="10524" width="9" style="181"/>
    <col min="10525" max="10525" width="9.125" style="181" customWidth="1"/>
    <col min="10526" max="10752" width="9" style="181"/>
    <col min="10753" max="10753" width="4.75" style="181" customWidth="1"/>
    <col min="10754" max="10754" width="6.875" style="181" customWidth="1"/>
    <col min="10755" max="10755" width="18.5" style="181" customWidth="1"/>
    <col min="10756" max="10756" width="10.875" style="181" customWidth="1"/>
    <col min="10757" max="10757" width="6.75" style="181" customWidth="1"/>
    <col min="10758" max="10758" width="9.375" style="181" customWidth="1"/>
    <col min="10759" max="10759" width="8.875" style="181" customWidth="1"/>
    <col min="10760" max="10760" width="14" style="181" customWidth="1"/>
    <col min="10761" max="10761" width="9.375" style="181" customWidth="1"/>
    <col min="10762" max="10762" width="8.625" style="181" customWidth="1"/>
    <col min="10763" max="10763" width="12.875" style="181" customWidth="1"/>
    <col min="10764" max="10764" width="13.375" style="181" bestFit="1" customWidth="1"/>
    <col min="10765" max="10765" width="7.625" style="181" customWidth="1"/>
    <col min="10766" max="10766" width="7.625" style="181" bestFit="1" customWidth="1"/>
    <col min="10767" max="10767" width="4.625" style="181" bestFit="1" customWidth="1"/>
    <col min="10768" max="10769" width="7.625" style="181" customWidth="1"/>
    <col min="10770" max="10770" width="7.625" style="181" bestFit="1" customWidth="1"/>
    <col min="10771" max="10771" width="4.625" style="181" bestFit="1" customWidth="1"/>
    <col min="10772" max="10772" width="9.625" style="181" bestFit="1" customWidth="1"/>
    <col min="10773" max="10773" width="8.75" style="181" bestFit="1" customWidth="1"/>
    <col min="10774" max="10774" width="11.5" style="181" bestFit="1" customWidth="1"/>
    <col min="10775" max="10775" width="6.125" style="181" bestFit="1" customWidth="1"/>
    <col min="10776" max="10776" width="4.625" style="181" bestFit="1" customWidth="1"/>
    <col min="10777" max="10779" width="6.125" style="181" bestFit="1" customWidth="1"/>
    <col min="10780" max="10780" width="9" style="181"/>
    <col min="10781" max="10781" width="9.125" style="181" customWidth="1"/>
    <col min="10782" max="11008" width="9" style="181"/>
    <col min="11009" max="11009" width="4.75" style="181" customWidth="1"/>
    <col min="11010" max="11010" width="6.875" style="181" customWidth="1"/>
    <col min="11011" max="11011" width="18.5" style="181" customWidth="1"/>
    <col min="11012" max="11012" width="10.875" style="181" customWidth="1"/>
    <col min="11013" max="11013" width="6.75" style="181" customWidth="1"/>
    <col min="11014" max="11014" width="9.375" style="181" customWidth="1"/>
    <col min="11015" max="11015" width="8.875" style="181" customWidth="1"/>
    <col min="11016" max="11016" width="14" style="181" customWidth="1"/>
    <col min="11017" max="11017" width="9.375" style="181" customWidth="1"/>
    <col min="11018" max="11018" width="8.625" style="181" customWidth="1"/>
    <col min="11019" max="11019" width="12.875" style="181" customWidth="1"/>
    <col min="11020" max="11020" width="13.375" style="181" bestFit="1" customWidth="1"/>
    <col min="11021" max="11021" width="7.625" style="181" customWidth="1"/>
    <col min="11022" max="11022" width="7.625" style="181" bestFit="1" customWidth="1"/>
    <col min="11023" max="11023" width="4.625" style="181" bestFit="1" customWidth="1"/>
    <col min="11024" max="11025" width="7.625" style="181" customWidth="1"/>
    <col min="11026" max="11026" width="7.625" style="181" bestFit="1" customWidth="1"/>
    <col min="11027" max="11027" width="4.625" style="181" bestFit="1" customWidth="1"/>
    <col min="11028" max="11028" width="9.625" style="181" bestFit="1" customWidth="1"/>
    <col min="11029" max="11029" width="8.75" style="181" bestFit="1" customWidth="1"/>
    <col min="11030" max="11030" width="11.5" style="181" bestFit="1" customWidth="1"/>
    <col min="11031" max="11031" width="6.125" style="181" bestFit="1" customWidth="1"/>
    <col min="11032" max="11032" width="4.625" style="181" bestFit="1" customWidth="1"/>
    <col min="11033" max="11035" width="6.125" style="181" bestFit="1" customWidth="1"/>
    <col min="11036" max="11036" width="9" style="181"/>
    <col min="11037" max="11037" width="9.125" style="181" customWidth="1"/>
    <col min="11038" max="11264" width="9" style="181"/>
    <col min="11265" max="11265" width="4.75" style="181" customWidth="1"/>
    <col min="11266" max="11266" width="6.875" style="181" customWidth="1"/>
    <col min="11267" max="11267" width="18.5" style="181" customWidth="1"/>
    <col min="11268" max="11268" width="10.875" style="181" customWidth="1"/>
    <col min="11269" max="11269" width="6.75" style="181" customWidth="1"/>
    <col min="11270" max="11270" width="9.375" style="181" customWidth="1"/>
    <col min="11271" max="11271" width="8.875" style="181" customWidth="1"/>
    <col min="11272" max="11272" width="14" style="181" customWidth="1"/>
    <col min="11273" max="11273" width="9.375" style="181" customWidth="1"/>
    <col min="11274" max="11274" width="8.625" style="181" customWidth="1"/>
    <col min="11275" max="11275" width="12.875" style="181" customWidth="1"/>
    <col min="11276" max="11276" width="13.375" style="181" bestFit="1" customWidth="1"/>
    <col min="11277" max="11277" width="7.625" style="181" customWidth="1"/>
    <col min="11278" max="11278" width="7.625" style="181" bestFit="1" customWidth="1"/>
    <col min="11279" max="11279" width="4.625" style="181" bestFit="1" customWidth="1"/>
    <col min="11280" max="11281" width="7.625" style="181" customWidth="1"/>
    <col min="11282" max="11282" width="7.625" style="181" bestFit="1" customWidth="1"/>
    <col min="11283" max="11283" width="4.625" style="181" bestFit="1" customWidth="1"/>
    <col min="11284" max="11284" width="9.625" style="181" bestFit="1" customWidth="1"/>
    <col min="11285" max="11285" width="8.75" style="181" bestFit="1" customWidth="1"/>
    <col min="11286" max="11286" width="11.5" style="181" bestFit="1" customWidth="1"/>
    <col min="11287" max="11287" width="6.125" style="181" bestFit="1" customWidth="1"/>
    <col min="11288" max="11288" width="4.625" style="181" bestFit="1" customWidth="1"/>
    <col min="11289" max="11291" width="6.125" style="181" bestFit="1" customWidth="1"/>
    <col min="11292" max="11292" width="9" style="181"/>
    <col min="11293" max="11293" width="9.125" style="181" customWidth="1"/>
    <col min="11294" max="11520" width="9" style="181"/>
    <col min="11521" max="11521" width="4.75" style="181" customWidth="1"/>
    <col min="11522" max="11522" width="6.875" style="181" customWidth="1"/>
    <col min="11523" max="11523" width="18.5" style="181" customWidth="1"/>
    <col min="11524" max="11524" width="10.875" style="181" customWidth="1"/>
    <col min="11525" max="11525" width="6.75" style="181" customWidth="1"/>
    <col min="11526" max="11526" width="9.375" style="181" customWidth="1"/>
    <col min="11527" max="11527" width="8.875" style="181" customWidth="1"/>
    <col min="11528" max="11528" width="14" style="181" customWidth="1"/>
    <col min="11529" max="11529" width="9.375" style="181" customWidth="1"/>
    <col min="11530" max="11530" width="8.625" style="181" customWidth="1"/>
    <col min="11531" max="11531" width="12.875" style="181" customWidth="1"/>
    <col min="11532" max="11532" width="13.375" style="181" bestFit="1" customWidth="1"/>
    <col min="11533" max="11533" width="7.625" style="181" customWidth="1"/>
    <col min="11534" max="11534" width="7.625" style="181" bestFit="1" customWidth="1"/>
    <col min="11535" max="11535" width="4.625" style="181" bestFit="1" customWidth="1"/>
    <col min="11536" max="11537" width="7.625" style="181" customWidth="1"/>
    <col min="11538" max="11538" width="7.625" style="181" bestFit="1" customWidth="1"/>
    <col min="11539" max="11539" width="4.625" style="181" bestFit="1" customWidth="1"/>
    <col min="11540" max="11540" width="9.625" style="181" bestFit="1" customWidth="1"/>
    <col min="11541" max="11541" width="8.75" style="181" bestFit="1" customWidth="1"/>
    <col min="11542" max="11542" width="11.5" style="181" bestFit="1" customWidth="1"/>
    <col min="11543" max="11543" width="6.125" style="181" bestFit="1" customWidth="1"/>
    <col min="11544" max="11544" width="4.625" style="181" bestFit="1" customWidth="1"/>
    <col min="11545" max="11547" width="6.125" style="181" bestFit="1" customWidth="1"/>
    <col min="11548" max="11548" width="9" style="181"/>
    <col min="11549" max="11549" width="9.125" style="181" customWidth="1"/>
    <col min="11550" max="11776" width="9" style="181"/>
    <col min="11777" max="11777" width="4.75" style="181" customWidth="1"/>
    <col min="11778" max="11778" width="6.875" style="181" customWidth="1"/>
    <col min="11779" max="11779" width="18.5" style="181" customWidth="1"/>
    <col min="11780" max="11780" width="10.875" style="181" customWidth="1"/>
    <col min="11781" max="11781" width="6.75" style="181" customWidth="1"/>
    <col min="11782" max="11782" width="9.375" style="181" customWidth="1"/>
    <col min="11783" max="11783" width="8.875" style="181" customWidth="1"/>
    <col min="11784" max="11784" width="14" style="181" customWidth="1"/>
    <col min="11785" max="11785" width="9.375" style="181" customWidth="1"/>
    <col min="11786" max="11786" width="8.625" style="181" customWidth="1"/>
    <col min="11787" max="11787" width="12.875" style="181" customWidth="1"/>
    <col min="11788" max="11788" width="13.375" style="181" bestFit="1" customWidth="1"/>
    <col min="11789" max="11789" width="7.625" style="181" customWidth="1"/>
    <col min="11790" max="11790" width="7.625" style="181" bestFit="1" customWidth="1"/>
    <col min="11791" max="11791" width="4.625" style="181" bestFit="1" customWidth="1"/>
    <col min="11792" max="11793" width="7.625" style="181" customWidth="1"/>
    <col min="11794" max="11794" width="7.625" style="181" bestFit="1" customWidth="1"/>
    <col min="11795" max="11795" width="4.625" style="181" bestFit="1" customWidth="1"/>
    <col min="11796" max="11796" width="9.625" style="181" bestFit="1" customWidth="1"/>
    <col min="11797" max="11797" width="8.75" style="181" bestFit="1" customWidth="1"/>
    <col min="11798" max="11798" width="11.5" style="181" bestFit="1" customWidth="1"/>
    <col min="11799" max="11799" width="6.125" style="181" bestFit="1" customWidth="1"/>
    <col min="11800" max="11800" width="4.625" style="181" bestFit="1" customWidth="1"/>
    <col min="11801" max="11803" width="6.125" style="181" bestFit="1" customWidth="1"/>
    <col min="11804" max="11804" width="9" style="181"/>
    <col min="11805" max="11805" width="9.125" style="181" customWidth="1"/>
    <col min="11806" max="12032" width="9" style="181"/>
    <col min="12033" max="12033" width="4.75" style="181" customWidth="1"/>
    <col min="12034" max="12034" width="6.875" style="181" customWidth="1"/>
    <col min="12035" max="12035" width="18.5" style="181" customWidth="1"/>
    <col min="12036" max="12036" width="10.875" style="181" customWidth="1"/>
    <col min="12037" max="12037" width="6.75" style="181" customWidth="1"/>
    <col min="12038" max="12038" width="9.375" style="181" customWidth="1"/>
    <col min="12039" max="12039" width="8.875" style="181" customWidth="1"/>
    <col min="12040" max="12040" width="14" style="181" customWidth="1"/>
    <col min="12041" max="12041" width="9.375" style="181" customWidth="1"/>
    <col min="12042" max="12042" width="8.625" style="181" customWidth="1"/>
    <col min="12043" max="12043" width="12.875" style="181" customWidth="1"/>
    <col min="12044" max="12044" width="13.375" style="181" bestFit="1" customWidth="1"/>
    <col min="12045" max="12045" width="7.625" style="181" customWidth="1"/>
    <col min="12046" max="12046" width="7.625" style="181" bestFit="1" customWidth="1"/>
    <col min="12047" max="12047" width="4.625" style="181" bestFit="1" customWidth="1"/>
    <col min="12048" max="12049" width="7.625" style="181" customWidth="1"/>
    <col min="12050" max="12050" width="7.625" style="181" bestFit="1" customWidth="1"/>
    <col min="12051" max="12051" width="4.625" style="181" bestFit="1" customWidth="1"/>
    <col min="12052" max="12052" width="9.625" style="181" bestFit="1" customWidth="1"/>
    <col min="12053" max="12053" width="8.75" style="181" bestFit="1" customWidth="1"/>
    <col min="12054" max="12054" width="11.5" style="181" bestFit="1" customWidth="1"/>
    <col min="12055" max="12055" width="6.125" style="181" bestFit="1" customWidth="1"/>
    <col min="12056" max="12056" width="4.625" style="181" bestFit="1" customWidth="1"/>
    <col min="12057" max="12059" width="6.125" style="181" bestFit="1" customWidth="1"/>
    <col min="12060" max="12060" width="9" style="181"/>
    <col min="12061" max="12061" width="9.125" style="181" customWidth="1"/>
    <col min="12062" max="12288" width="9" style="181"/>
    <col min="12289" max="12289" width="4.75" style="181" customWidth="1"/>
    <col min="12290" max="12290" width="6.875" style="181" customWidth="1"/>
    <col min="12291" max="12291" width="18.5" style="181" customWidth="1"/>
    <col min="12292" max="12292" width="10.875" style="181" customWidth="1"/>
    <col min="12293" max="12293" width="6.75" style="181" customWidth="1"/>
    <col min="12294" max="12294" width="9.375" style="181" customWidth="1"/>
    <col min="12295" max="12295" width="8.875" style="181" customWidth="1"/>
    <col min="12296" max="12296" width="14" style="181" customWidth="1"/>
    <col min="12297" max="12297" width="9.375" style="181" customWidth="1"/>
    <col min="12298" max="12298" width="8.625" style="181" customWidth="1"/>
    <col min="12299" max="12299" width="12.875" style="181" customWidth="1"/>
    <col min="12300" max="12300" width="13.375" style="181" bestFit="1" customWidth="1"/>
    <col min="12301" max="12301" width="7.625" style="181" customWidth="1"/>
    <col min="12302" max="12302" width="7.625" style="181" bestFit="1" customWidth="1"/>
    <col min="12303" max="12303" width="4.625" style="181" bestFit="1" customWidth="1"/>
    <col min="12304" max="12305" width="7.625" style="181" customWidth="1"/>
    <col min="12306" max="12306" width="7.625" style="181" bestFit="1" customWidth="1"/>
    <col min="12307" max="12307" width="4.625" style="181" bestFit="1" customWidth="1"/>
    <col min="12308" max="12308" width="9.625" style="181" bestFit="1" customWidth="1"/>
    <col min="12309" max="12309" width="8.75" style="181" bestFit="1" customWidth="1"/>
    <col min="12310" max="12310" width="11.5" style="181" bestFit="1" customWidth="1"/>
    <col min="12311" max="12311" width="6.125" style="181" bestFit="1" customWidth="1"/>
    <col min="12312" max="12312" width="4.625" style="181" bestFit="1" customWidth="1"/>
    <col min="12313" max="12315" width="6.125" style="181" bestFit="1" customWidth="1"/>
    <col min="12316" max="12316" width="9" style="181"/>
    <col min="12317" max="12317" width="9.125" style="181" customWidth="1"/>
    <col min="12318" max="12544" width="9" style="181"/>
    <col min="12545" max="12545" width="4.75" style="181" customWidth="1"/>
    <col min="12546" max="12546" width="6.875" style="181" customWidth="1"/>
    <col min="12547" max="12547" width="18.5" style="181" customWidth="1"/>
    <col min="12548" max="12548" width="10.875" style="181" customWidth="1"/>
    <col min="12549" max="12549" width="6.75" style="181" customWidth="1"/>
    <col min="12550" max="12550" width="9.375" style="181" customWidth="1"/>
    <col min="12551" max="12551" width="8.875" style="181" customWidth="1"/>
    <col min="12552" max="12552" width="14" style="181" customWidth="1"/>
    <col min="12553" max="12553" width="9.375" style="181" customWidth="1"/>
    <col min="12554" max="12554" width="8.625" style="181" customWidth="1"/>
    <col min="12555" max="12555" width="12.875" style="181" customWidth="1"/>
    <col min="12556" max="12556" width="13.375" style="181" bestFit="1" customWidth="1"/>
    <col min="12557" max="12557" width="7.625" style="181" customWidth="1"/>
    <col min="12558" max="12558" width="7.625" style="181" bestFit="1" customWidth="1"/>
    <col min="12559" max="12559" width="4.625" style="181" bestFit="1" customWidth="1"/>
    <col min="12560" max="12561" width="7.625" style="181" customWidth="1"/>
    <col min="12562" max="12562" width="7.625" style="181" bestFit="1" customWidth="1"/>
    <col min="12563" max="12563" width="4.625" style="181" bestFit="1" customWidth="1"/>
    <col min="12564" max="12564" width="9.625" style="181" bestFit="1" customWidth="1"/>
    <col min="12565" max="12565" width="8.75" style="181" bestFit="1" customWidth="1"/>
    <col min="12566" max="12566" width="11.5" style="181" bestFit="1" customWidth="1"/>
    <col min="12567" max="12567" width="6.125" style="181" bestFit="1" customWidth="1"/>
    <col min="12568" max="12568" width="4.625" style="181" bestFit="1" customWidth="1"/>
    <col min="12569" max="12571" width="6.125" style="181" bestFit="1" customWidth="1"/>
    <col min="12572" max="12572" width="9" style="181"/>
    <col min="12573" max="12573" width="9.125" style="181" customWidth="1"/>
    <col min="12574" max="12800" width="9" style="181"/>
    <col min="12801" max="12801" width="4.75" style="181" customWidth="1"/>
    <col min="12802" max="12802" width="6.875" style="181" customWidth="1"/>
    <col min="12803" max="12803" width="18.5" style="181" customWidth="1"/>
    <col min="12804" max="12804" width="10.875" style="181" customWidth="1"/>
    <col min="12805" max="12805" width="6.75" style="181" customWidth="1"/>
    <col min="12806" max="12806" width="9.375" style="181" customWidth="1"/>
    <col min="12807" max="12807" width="8.875" style="181" customWidth="1"/>
    <col min="12808" max="12808" width="14" style="181" customWidth="1"/>
    <col min="12809" max="12809" width="9.375" style="181" customWidth="1"/>
    <col min="12810" max="12810" width="8.625" style="181" customWidth="1"/>
    <col min="12811" max="12811" width="12.875" style="181" customWidth="1"/>
    <col min="12812" max="12812" width="13.375" style="181" bestFit="1" customWidth="1"/>
    <col min="12813" max="12813" width="7.625" style="181" customWidth="1"/>
    <col min="12814" max="12814" width="7.625" style="181" bestFit="1" customWidth="1"/>
    <col min="12815" max="12815" width="4.625" style="181" bestFit="1" customWidth="1"/>
    <col min="12816" max="12817" width="7.625" style="181" customWidth="1"/>
    <col min="12818" max="12818" width="7.625" style="181" bestFit="1" customWidth="1"/>
    <col min="12819" max="12819" width="4.625" style="181" bestFit="1" customWidth="1"/>
    <col min="12820" max="12820" width="9.625" style="181" bestFit="1" customWidth="1"/>
    <col min="12821" max="12821" width="8.75" style="181" bestFit="1" customWidth="1"/>
    <col min="12822" max="12822" width="11.5" style="181" bestFit="1" customWidth="1"/>
    <col min="12823" max="12823" width="6.125" style="181" bestFit="1" customWidth="1"/>
    <col min="12824" max="12824" width="4.625" style="181" bestFit="1" customWidth="1"/>
    <col min="12825" max="12827" width="6.125" style="181" bestFit="1" customWidth="1"/>
    <col min="12828" max="12828" width="9" style="181"/>
    <col min="12829" max="12829" width="9.125" style="181" customWidth="1"/>
    <col min="12830" max="13056" width="9" style="181"/>
    <col min="13057" max="13057" width="4.75" style="181" customWidth="1"/>
    <col min="13058" max="13058" width="6.875" style="181" customWidth="1"/>
    <col min="13059" max="13059" width="18.5" style="181" customWidth="1"/>
    <col min="13060" max="13060" width="10.875" style="181" customWidth="1"/>
    <col min="13061" max="13061" width="6.75" style="181" customWidth="1"/>
    <col min="13062" max="13062" width="9.375" style="181" customWidth="1"/>
    <col min="13063" max="13063" width="8.875" style="181" customWidth="1"/>
    <col min="13064" max="13064" width="14" style="181" customWidth="1"/>
    <col min="13065" max="13065" width="9.375" style="181" customWidth="1"/>
    <col min="13066" max="13066" width="8.625" style="181" customWidth="1"/>
    <col min="13067" max="13067" width="12.875" style="181" customWidth="1"/>
    <col min="13068" max="13068" width="13.375" style="181" bestFit="1" customWidth="1"/>
    <col min="13069" max="13069" width="7.625" style="181" customWidth="1"/>
    <col min="13070" max="13070" width="7.625" style="181" bestFit="1" customWidth="1"/>
    <col min="13071" max="13071" width="4.625" style="181" bestFit="1" customWidth="1"/>
    <col min="13072" max="13073" width="7.625" style="181" customWidth="1"/>
    <col min="13074" max="13074" width="7.625" style="181" bestFit="1" customWidth="1"/>
    <col min="13075" max="13075" width="4.625" style="181" bestFit="1" customWidth="1"/>
    <col min="13076" max="13076" width="9.625" style="181" bestFit="1" customWidth="1"/>
    <col min="13077" max="13077" width="8.75" style="181" bestFit="1" customWidth="1"/>
    <col min="13078" max="13078" width="11.5" style="181" bestFit="1" customWidth="1"/>
    <col min="13079" max="13079" width="6.125" style="181" bestFit="1" customWidth="1"/>
    <col min="13080" max="13080" width="4.625" style="181" bestFit="1" customWidth="1"/>
    <col min="13081" max="13083" width="6.125" style="181" bestFit="1" customWidth="1"/>
    <col min="13084" max="13084" width="9" style="181"/>
    <col min="13085" max="13085" width="9.125" style="181" customWidth="1"/>
    <col min="13086" max="13312" width="9" style="181"/>
    <col min="13313" max="13313" width="4.75" style="181" customWidth="1"/>
    <col min="13314" max="13314" width="6.875" style="181" customWidth="1"/>
    <col min="13315" max="13315" width="18.5" style="181" customWidth="1"/>
    <col min="13316" max="13316" width="10.875" style="181" customWidth="1"/>
    <col min="13317" max="13317" width="6.75" style="181" customWidth="1"/>
    <col min="13318" max="13318" width="9.375" style="181" customWidth="1"/>
    <col min="13319" max="13319" width="8.875" style="181" customWidth="1"/>
    <col min="13320" max="13320" width="14" style="181" customWidth="1"/>
    <col min="13321" max="13321" width="9.375" style="181" customWidth="1"/>
    <col min="13322" max="13322" width="8.625" style="181" customWidth="1"/>
    <col min="13323" max="13323" width="12.875" style="181" customWidth="1"/>
    <col min="13324" max="13324" width="13.375" style="181" bestFit="1" customWidth="1"/>
    <col min="13325" max="13325" width="7.625" style="181" customWidth="1"/>
    <col min="13326" max="13326" width="7.625" style="181" bestFit="1" customWidth="1"/>
    <col min="13327" max="13327" width="4.625" style="181" bestFit="1" customWidth="1"/>
    <col min="13328" max="13329" width="7.625" style="181" customWidth="1"/>
    <col min="13330" max="13330" width="7.625" style="181" bestFit="1" customWidth="1"/>
    <col min="13331" max="13331" width="4.625" style="181" bestFit="1" customWidth="1"/>
    <col min="13332" max="13332" width="9.625" style="181" bestFit="1" customWidth="1"/>
    <col min="13333" max="13333" width="8.75" style="181" bestFit="1" customWidth="1"/>
    <col min="13334" max="13334" width="11.5" style="181" bestFit="1" customWidth="1"/>
    <col min="13335" max="13335" width="6.125" style="181" bestFit="1" customWidth="1"/>
    <col min="13336" max="13336" width="4.625" style="181" bestFit="1" customWidth="1"/>
    <col min="13337" max="13339" width="6.125" style="181" bestFit="1" customWidth="1"/>
    <col min="13340" max="13340" width="9" style="181"/>
    <col min="13341" max="13341" width="9.125" style="181" customWidth="1"/>
    <col min="13342" max="13568" width="9" style="181"/>
    <col min="13569" max="13569" width="4.75" style="181" customWidth="1"/>
    <col min="13570" max="13570" width="6.875" style="181" customWidth="1"/>
    <col min="13571" max="13571" width="18.5" style="181" customWidth="1"/>
    <col min="13572" max="13572" width="10.875" style="181" customWidth="1"/>
    <col min="13573" max="13573" width="6.75" style="181" customWidth="1"/>
    <col min="13574" max="13574" width="9.375" style="181" customWidth="1"/>
    <col min="13575" max="13575" width="8.875" style="181" customWidth="1"/>
    <col min="13576" max="13576" width="14" style="181" customWidth="1"/>
    <col min="13577" max="13577" width="9.375" style="181" customWidth="1"/>
    <col min="13578" max="13578" width="8.625" style="181" customWidth="1"/>
    <col min="13579" max="13579" width="12.875" style="181" customWidth="1"/>
    <col min="13580" max="13580" width="13.375" style="181" bestFit="1" customWidth="1"/>
    <col min="13581" max="13581" width="7.625" style="181" customWidth="1"/>
    <col min="13582" max="13582" width="7.625" style="181" bestFit="1" customWidth="1"/>
    <col min="13583" max="13583" width="4.625" style="181" bestFit="1" customWidth="1"/>
    <col min="13584" max="13585" width="7.625" style="181" customWidth="1"/>
    <col min="13586" max="13586" width="7.625" style="181" bestFit="1" customWidth="1"/>
    <col min="13587" max="13587" width="4.625" style="181" bestFit="1" customWidth="1"/>
    <col min="13588" max="13588" width="9.625" style="181" bestFit="1" customWidth="1"/>
    <col min="13589" max="13589" width="8.75" style="181" bestFit="1" customWidth="1"/>
    <col min="13590" max="13590" width="11.5" style="181" bestFit="1" customWidth="1"/>
    <col min="13591" max="13591" width="6.125" style="181" bestFit="1" customWidth="1"/>
    <col min="13592" max="13592" width="4.625" style="181" bestFit="1" customWidth="1"/>
    <col min="13593" max="13595" width="6.125" style="181" bestFit="1" customWidth="1"/>
    <col min="13596" max="13596" width="9" style="181"/>
    <col min="13597" max="13597" width="9.125" style="181" customWidth="1"/>
    <col min="13598" max="13824" width="9" style="181"/>
    <col min="13825" max="13825" width="4.75" style="181" customWidth="1"/>
    <col min="13826" max="13826" width="6.875" style="181" customWidth="1"/>
    <col min="13827" max="13827" width="18.5" style="181" customWidth="1"/>
    <col min="13828" max="13828" width="10.875" style="181" customWidth="1"/>
    <col min="13829" max="13829" width="6.75" style="181" customWidth="1"/>
    <col min="13830" max="13830" width="9.375" style="181" customWidth="1"/>
    <col min="13831" max="13831" width="8.875" style="181" customWidth="1"/>
    <col min="13832" max="13832" width="14" style="181" customWidth="1"/>
    <col min="13833" max="13833" width="9.375" style="181" customWidth="1"/>
    <col min="13834" max="13834" width="8.625" style="181" customWidth="1"/>
    <col min="13835" max="13835" width="12.875" style="181" customWidth="1"/>
    <col min="13836" max="13836" width="13.375" style="181" bestFit="1" customWidth="1"/>
    <col min="13837" max="13837" width="7.625" style="181" customWidth="1"/>
    <col min="13838" max="13838" width="7.625" style="181" bestFit="1" customWidth="1"/>
    <col min="13839" max="13839" width="4.625" style="181" bestFit="1" customWidth="1"/>
    <col min="13840" max="13841" width="7.625" style="181" customWidth="1"/>
    <col min="13842" max="13842" width="7.625" style="181" bestFit="1" customWidth="1"/>
    <col min="13843" max="13843" width="4.625" style="181" bestFit="1" customWidth="1"/>
    <col min="13844" max="13844" width="9.625" style="181" bestFit="1" customWidth="1"/>
    <col min="13845" max="13845" width="8.75" style="181" bestFit="1" customWidth="1"/>
    <col min="13846" max="13846" width="11.5" style="181" bestFit="1" customWidth="1"/>
    <col min="13847" max="13847" width="6.125" style="181" bestFit="1" customWidth="1"/>
    <col min="13848" max="13848" width="4.625" style="181" bestFit="1" customWidth="1"/>
    <col min="13849" max="13851" width="6.125" style="181" bestFit="1" customWidth="1"/>
    <col min="13852" max="13852" width="9" style="181"/>
    <col min="13853" max="13853" width="9.125" style="181" customWidth="1"/>
    <col min="13854" max="14080" width="9" style="181"/>
    <col min="14081" max="14081" width="4.75" style="181" customWidth="1"/>
    <col min="14082" max="14082" width="6.875" style="181" customWidth="1"/>
    <col min="14083" max="14083" width="18.5" style="181" customWidth="1"/>
    <col min="14084" max="14084" width="10.875" style="181" customWidth="1"/>
    <col min="14085" max="14085" width="6.75" style="181" customWidth="1"/>
    <col min="14086" max="14086" width="9.375" style="181" customWidth="1"/>
    <col min="14087" max="14087" width="8.875" style="181" customWidth="1"/>
    <col min="14088" max="14088" width="14" style="181" customWidth="1"/>
    <col min="14089" max="14089" width="9.375" style="181" customWidth="1"/>
    <col min="14090" max="14090" width="8.625" style="181" customWidth="1"/>
    <col min="14091" max="14091" width="12.875" style="181" customWidth="1"/>
    <col min="14092" max="14092" width="13.375" style="181" bestFit="1" customWidth="1"/>
    <col min="14093" max="14093" width="7.625" style="181" customWidth="1"/>
    <col min="14094" max="14094" width="7.625" style="181" bestFit="1" customWidth="1"/>
    <col min="14095" max="14095" width="4.625" style="181" bestFit="1" customWidth="1"/>
    <col min="14096" max="14097" width="7.625" style="181" customWidth="1"/>
    <col min="14098" max="14098" width="7.625" style="181" bestFit="1" customWidth="1"/>
    <col min="14099" max="14099" width="4.625" style="181" bestFit="1" customWidth="1"/>
    <col min="14100" max="14100" width="9.625" style="181" bestFit="1" customWidth="1"/>
    <col min="14101" max="14101" width="8.75" style="181" bestFit="1" customWidth="1"/>
    <col min="14102" max="14102" width="11.5" style="181" bestFit="1" customWidth="1"/>
    <col min="14103" max="14103" width="6.125" style="181" bestFit="1" customWidth="1"/>
    <col min="14104" max="14104" width="4.625" style="181" bestFit="1" customWidth="1"/>
    <col min="14105" max="14107" width="6.125" style="181" bestFit="1" customWidth="1"/>
    <col min="14108" max="14108" width="9" style="181"/>
    <col min="14109" max="14109" width="9.125" style="181" customWidth="1"/>
    <col min="14110" max="14336" width="9" style="181"/>
    <col min="14337" max="14337" width="4.75" style="181" customWidth="1"/>
    <col min="14338" max="14338" width="6.875" style="181" customWidth="1"/>
    <col min="14339" max="14339" width="18.5" style="181" customWidth="1"/>
    <col min="14340" max="14340" width="10.875" style="181" customWidth="1"/>
    <col min="14341" max="14341" width="6.75" style="181" customWidth="1"/>
    <col min="14342" max="14342" width="9.375" style="181" customWidth="1"/>
    <col min="14343" max="14343" width="8.875" style="181" customWidth="1"/>
    <col min="14344" max="14344" width="14" style="181" customWidth="1"/>
    <col min="14345" max="14345" width="9.375" style="181" customWidth="1"/>
    <col min="14346" max="14346" width="8.625" style="181" customWidth="1"/>
    <col min="14347" max="14347" width="12.875" style="181" customWidth="1"/>
    <col min="14348" max="14348" width="13.375" style="181" bestFit="1" customWidth="1"/>
    <col min="14349" max="14349" width="7.625" style="181" customWidth="1"/>
    <col min="14350" max="14350" width="7.625" style="181" bestFit="1" customWidth="1"/>
    <col min="14351" max="14351" width="4.625" style="181" bestFit="1" customWidth="1"/>
    <col min="14352" max="14353" width="7.625" style="181" customWidth="1"/>
    <col min="14354" max="14354" width="7.625" style="181" bestFit="1" customWidth="1"/>
    <col min="14355" max="14355" width="4.625" style="181" bestFit="1" customWidth="1"/>
    <col min="14356" max="14356" width="9.625" style="181" bestFit="1" customWidth="1"/>
    <col min="14357" max="14357" width="8.75" style="181" bestFit="1" customWidth="1"/>
    <col min="14358" max="14358" width="11.5" style="181" bestFit="1" customWidth="1"/>
    <col min="14359" max="14359" width="6.125" style="181" bestFit="1" customWidth="1"/>
    <col min="14360" max="14360" width="4.625" style="181" bestFit="1" customWidth="1"/>
    <col min="14361" max="14363" width="6.125" style="181" bestFit="1" customWidth="1"/>
    <col min="14364" max="14364" width="9" style="181"/>
    <col min="14365" max="14365" width="9.125" style="181" customWidth="1"/>
    <col min="14366" max="14592" width="9" style="181"/>
    <col min="14593" max="14593" width="4.75" style="181" customWidth="1"/>
    <col min="14594" max="14594" width="6.875" style="181" customWidth="1"/>
    <col min="14595" max="14595" width="18.5" style="181" customWidth="1"/>
    <col min="14596" max="14596" width="10.875" style="181" customWidth="1"/>
    <col min="14597" max="14597" width="6.75" style="181" customWidth="1"/>
    <col min="14598" max="14598" width="9.375" style="181" customWidth="1"/>
    <col min="14599" max="14599" width="8.875" style="181" customWidth="1"/>
    <col min="14600" max="14600" width="14" style="181" customWidth="1"/>
    <col min="14601" max="14601" width="9.375" style="181" customWidth="1"/>
    <col min="14602" max="14602" width="8.625" style="181" customWidth="1"/>
    <col min="14603" max="14603" width="12.875" style="181" customWidth="1"/>
    <col min="14604" max="14604" width="13.375" style="181" bestFit="1" customWidth="1"/>
    <col min="14605" max="14605" width="7.625" style="181" customWidth="1"/>
    <col min="14606" max="14606" width="7.625" style="181" bestFit="1" customWidth="1"/>
    <col min="14607" max="14607" width="4.625" style="181" bestFit="1" customWidth="1"/>
    <col min="14608" max="14609" width="7.625" style="181" customWidth="1"/>
    <col min="14610" max="14610" width="7.625" style="181" bestFit="1" customWidth="1"/>
    <col min="14611" max="14611" width="4.625" style="181" bestFit="1" customWidth="1"/>
    <col min="14612" max="14612" width="9.625" style="181" bestFit="1" customWidth="1"/>
    <col min="14613" max="14613" width="8.75" style="181" bestFit="1" customWidth="1"/>
    <col min="14614" max="14614" width="11.5" style="181" bestFit="1" customWidth="1"/>
    <col min="14615" max="14615" width="6.125" style="181" bestFit="1" customWidth="1"/>
    <col min="14616" max="14616" width="4.625" style="181" bestFit="1" customWidth="1"/>
    <col min="14617" max="14619" width="6.125" style="181" bestFit="1" customWidth="1"/>
    <col min="14620" max="14620" width="9" style="181"/>
    <col min="14621" max="14621" width="9.125" style="181" customWidth="1"/>
    <col min="14622" max="14848" width="9" style="181"/>
    <col min="14849" max="14849" width="4.75" style="181" customWidth="1"/>
    <col min="14850" max="14850" width="6.875" style="181" customWidth="1"/>
    <col min="14851" max="14851" width="18.5" style="181" customWidth="1"/>
    <col min="14852" max="14852" width="10.875" style="181" customWidth="1"/>
    <col min="14853" max="14853" width="6.75" style="181" customWidth="1"/>
    <col min="14854" max="14854" width="9.375" style="181" customWidth="1"/>
    <col min="14855" max="14855" width="8.875" style="181" customWidth="1"/>
    <col min="14856" max="14856" width="14" style="181" customWidth="1"/>
    <col min="14857" max="14857" width="9.375" style="181" customWidth="1"/>
    <col min="14858" max="14858" width="8.625" style="181" customWidth="1"/>
    <col min="14859" max="14859" width="12.875" style="181" customWidth="1"/>
    <col min="14860" max="14860" width="13.375" style="181" bestFit="1" customWidth="1"/>
    <col min="14861" max="14861" width="7.625" style="181" customWidth="1"/>
    <col min="14862" max="14862" width="7.625" style="181" bestFit="1" customWidth="1"/>
    <col min="14863" max="14863" width="4.625" style="181" bestFit="1" customWidth="1"/>
    <col min="14864" max="14865" width="7.625" style="181" customWidth="1"/>
    <col min="14866" max="14866" width="7.625" style="181" bestFit="1" customWidth="1"/>
    <col min="14867" max="14867" width="4.625" style="181" bestFit="1" customWidth="1"/>
    <col min="14868" max="14868" width="9.625" style="181" bestFit="1" customWidth="1"/>
    <col min="14869" max="14869" width="8.75" style="181" bestFit="1" customWidth="1"/>
    <col min="14870" max="14870" width="11.5" style="181" bestFit="1" customWidth="1"/>
    <col min="14871" max="14871" width="6.125" style="181" bestFit="1" customWidth="1"/>
    <col min="14872" max="14872" width="4.625" style="181" bestFit="1" customWidth="1"/>
    <col min="14873" max="14875" width="6.125" style="181" bestFit="1" customWidth="1"/>
    <col min="14876" max="14876" width="9" style="181"/>
    <col min="14877" max="14877" width="9.125" style="181" customWidth="1"/>
    <col min="14878" max="15104" width="9" style="181"/>
    <col min="15105" max="15105" width="4.75" style="181" customWidth="1"/>
    <col min="15106" max="15106" width="6.875" style="181" customWidth="1"/>
    <col min="15107" max="15107" width="18.5" style="181" customWidth="1"/>
    <col min="15108" max="15108" width="10.875" style="181" customWidth="1"/>
    <col min="15109" max="15109" width="6.75" style="181" customWidth="1"/>
    <col min="15110" max="15110" width="9.375" style="181" customWidth="1"/>
    <col min="15111" max="15111" width="8.875" style="181" customWidth="1"/>
    <col min="15112" max="15112" width="14" style="181" customWidth="1"/>
    <col min="15113" max="15113" width="9.375" style="181" customWidth="1"/>
    <col min="15114" max="15114" width="8.625" style="181" customWidth="1"/>
    <col min="15115" max="15115" width="12.875" style="181" customWidth="1"/>
    <col min="15116" max="15116" width="13.375" style="181" bestFit="1" customWidth="1"/>
    <col min="15117" max="15117" width="7.625" style="181" customWidth="1"/>
    <col min="15118" max="15118" width="7.625" style="181" bestFit="1" customWidth="1"/>
    <col min="15119" max="15119" width="4.625" style="181" bestFit="1" customWidth="1"/>
    <col min="15120" max="15121" width="7.625" style="181" customWidth="1"/>
    <col min="15122" max="15122" width="7.625" style="181" bestFit="1" customWidth="1"/>
    <col min="15123" max="15123" width="4.625" style="181" bestFit="1" customWidth="1"/>
    <col min="15124" max="15124" width="9.625" style="181" bestFit="1" customWidth="1"/>
    <col min="15125" max="15125" width="8.75" style="181" bestFit="1" customWidth="1"/>
    <col min="15126" max="15126" width="11.5" style="181" bestFit="1" customWidth="1"/>
    <col min="15127" max="15127" width="6.125" style="181" bestFit="1" customWidth="1"/>
    <col min="15128" max="15128" width="4.625" style="181" bestFit="1" customWidth="1"/>
    <col min="15129" max="15131" width="6.125" style="181" bestFit="1" customWidth="1"/>
    <col min="15132" max="15132" width="9" style="181"/>
    <col min="15133" max="15133" width="9.125" style="181" customWidth="1"/>
    <col min="15134" max="15360" width="9" style="181"/>
    <col min="15361" max="15361" width="4.75" style="181" customWidth="1"/>
    <col min="15362" max="15362" width="6.875" style="181" customWidth="1"/>
    <col min="15363" max="15363" width="18.5" style="181" customWidth="1"/>
    <col min="15364" max="15364" width="10.875" style="181" customWidth="1"/>
    <col min="15365" max="15365" width="6.75" style="181" customWidth="1"/>
    <col min="15366" max="15366" width="9.375" style="181" customWidth="1"/>
    <col min="15367" max="15367" width="8.875" style="181" customWidth="1"/>
    <col min="15368" max="15368" width="14" style="181" customWidth="1"/>
    <col min="15369" max="15369" width="9.375" style="181" customWidth="1"/>
    <col min="15370" max="15370" width="8.625" style="181" customWidth="1"/>
    <col min="15371" max="15371" width="12.875" style="181" customWidth="1"/>
    <col min="15372" max="15372" width="13.375" style="181" bestFit="1" customWidth="1"/>
    <col min="15373" max="15373" width="7.625" style="181" customWidth="1"/>
    <col min="15374" max="15374" width="7.625" style="181" bestFit="1" customWidth="1"/>
    <col min="15375" max="15375" width="4.625" style="181" bestFit="1" customWidth="1"/>
    <col min="15376" max="15377" width="7.625" style="181" customWidth="1"/>
    <col min="15378" max="15378" width="7.625" style="181" bestFit="1" customWidth="1"/>
    <col min="15379" max="15379" width="4.625" style="181" bestFit="1" customWidth="1"/>
    <col min="15380" max="15380" width="9.625" style="181" bestFit="1" customWidth="1"/>
    <col min="15381" max="15381" width="8.75" style="181" bestFit="1" customWidth="1"/>
    <col min="15382" max="15382" width="11.5" style="181" bestFit="1" customWidth="1"/>
    <col min="15383" max="15383" width="6.125" style="181" bestFit="1" customWidth="1"/>
    <col min="15384" max="15384" width="4.625" style="181" bestFit="1" customWidth="1"/>
    <col min="15385" max="15387" width="6.125" style="181" bestFit="1" customWidth="1"/>
    <col min="15388" max="15388" width="9" style="181"/>
    <col min="15389" max="15389" width="9.125" style="181" customWidth="1"/>
    <col min="15390" max="15616" width="9" style="181"/>
    <col min="15617" max="15617" width="4.75" style="181" customWidth="1"/>
    <col min="15618" max="15618" width="6.875" style="181" customWidth="1"/>
    <col min="15619" max="15619" width="18.5" style="181" customWidth="1"/>
    <col min="15620" max="15620" width="10.875" style="181" customWidth="1"/>
    <col min="15621" max="15621" width="6.75" style="181" customWidth="1"/>
    <col min="15622" max="15622" width="9.375" style="181" customWidth="1"/>
    <col min="15623" max="15623" width="8.875" style="181" customWidth="1"/>
    <col min="15624" max="15624" width="14" style="181" customWidth="1"/>
    <col min="15625" max="15625" width="9.375" style="181" customWidth="1"/>
    <col min="15626" max="15626" width="8.625" style="181" customWidth="1"/>
    <col min="15627" max="15627" width="12.875" style="181" customWidth="1"/>
    <col min="15628" max="15628" width="13.375" style="181" bestFit="1" customWidth="1"/>
    <col min="15629" max="15629" width="7.625" style="181" customWidth="1"/>
    <col min="15630" max="15630" width="7.625" style="181" bestFit="1" customWidth="1"/>
    <col min="15631" max="15631" width="4.625" style="181" bestFit="1" customWidth="1"/>
    <col min="15632" max="15633" width="7.625" style="181" customWidth="1"/>
    <col min="15634" max="15634" width="7.625" style="181" bestFit="1" customWidth="1"/>
    <col min="15635" max="15635" width="4.625" style="181" bestFit="1" customWidth="1"/>
    <col min="15636" max="15636" width="9.625" style="181" bestFit="1" customWidth="1"/>
    <col min="15637" max="15637" width="8.75" style="181" bestFit="1" customWidth="1"/>
    <col min="15638" max="15638" width="11.5" style="181" bestFit="1" customWidth="1"/>
    <col min="15639" max="15639" width="6.125" style="181" bestFit="1" customWidth="1"/>
    <col min="15640" max="15640" width="4.625" style="181" bestFit="1" customWidth="1"/>
    <col min="15641" max="15643" width="6.125" style="181" bestFit="1" customWidth="1"/>
    <col min="15644" max="15644" width="9" style="181"/>
    <col min="15645" max="15645" width="9.125" style="181" customWidth="1"/>
    <col min="15646" max="15872" width="9" style="181"/>
    <col min="15873" max="15873" width="4.75" style="181" customWidth="1"/>
    <col min="15874" max="15874" width="6.875" style="181" customWidth="1"/>
    <col min="15875" max="15875" width="18.5" style="181" customWidth="1"/>
    <col min="15876" max="15876" width="10.875" style="181" customWidth="1"/>
    <col min="15877" max="15877" width="6.75" style="181" customWidth="1"/>
    <col min="15878" max="15878" width="9.375" style="181" customWidth="1"/>
    <col min="15879" max="15879" width="8.875" style="181" customWidth="1"/>
    <col min="15880" max="15880" width="14" style="181" customWidth="1"/>
    <col min="15881" max="15881" width="9.375" style="181" customWidth="1"/>
    <col min="15882" max="15882" width="8.625" style="181" customWidth="1"/>
    <col min="15883" max="15883" width="12.875" style="181" customWidth="1"/>
    <col min="15884" max="15884" width="13.375" style="181" bestFit="1" customWidth="1"/>
    <col min="15885" max="15885" width="7.625" style="181" customWidth="1"/>
    <col min="15886" max="15886" width="7.625" style="181" bestFit="1" customWidth="1"/>
    <col min="15887" max="15887" width="4.625" style="181" bestFit="1" customWidth="1"/>
    <col min="15888" max="15889" width="7.625" style="181" customWidth="1"/>
    <col min="15890" max="15890" width="7.625" style="181" bestFit="1" customWidth="1"/>
    <col min="15891" max="15891" width="4.625" style="181" bestFit="1" customWidth="1"/>
    <col min="15892" max="15892" width="9.625" style="181" bestFit="1" customWidth="1"/>
    <col min="15893" max="15893" width="8.75" style="181" bestFit="1" customWidth="1"/>
    <col min="15894" max="15894" width="11.5" style="181" bestFit="1" customWidth="1"/>
    <col min="15895" max="15895" width="6.125" style="181" bestFit="1" customWidth="1"/>
    <col min="15896" max="15896" width="4.625" style="181" bestFit="1" customWidth="1"/>
    <col min="15897" max="15899" width="6.125" style="181" bestFit="1" customWidth="1"/>
    <col min="15900" max="15900" width="9" style="181"/>
    <col min="15901" max="15901" width="9.125" style="181" customWidth="1"/>
    <col min="15902" max="16128" width="9" style="181"/>
    <col min="16129" max="16129" width="4.75" style="181" customWidth="1"/>
    <col min="16130" max="16130" width="6.875" style="181" customWidth="1"/>
    <col min="16131" max="16131" width="18.5" style="181" customWidth="1"/>
    <col min="16132" max="16132" width="10.875" style="181" customWidth="1"/>
    <col min="16133" max="16133" width="6.75" style="181" customWidth="1"/>
    <col min="16134" max="16134" width="9.375" style="181" customWidth="1"/>
    <col min="16135" max="16135" width="8.875" style="181" customWidth="1"/>
    <col min="16136" max="16136" width="14" style="181" customWidth="1"/>
    <col min="16137" max="16137" width="9.375" style="181" customWidth="1"/>
    <col min="16138" max="16138" width="8.625" style="181" customWidth="1"/>
    <col min="16139" max="16139" width="12.875" style="181" customWidth="1"/>
    <col min="16140" max="16140" width="13.375" style="181" bestFit="1" customWidth="1"/>
    <col min="16141" max="16141" width="7.625" style="181" customWidth="1"/>
    <col min="16142" max="16142" width="7.625" style="181" bestFit="1" customWidth="1"/>
    <col min="16143" max="16143" width="4.625" style="181" bestFit="1" customWidth="1"/>
    <col min="16144" max="16145" width="7.625" style="181" customWidth="1"/>
    <col min="16146" max="16146" width="7.625" style="181" bestFit="1" customWidth="1"/>
    <col min="16147" max="16147" width="4.625" style="181" bestFit="1" customWidth="1"/>
    <col min="16148" max="16148" width="9.625" style="181" bestFit="1" customWidth="1"/>
    <col min="16149" max="16149" width="8.75" style="181" bestFit="1" customWidth="1"/>
    <col min="16150" max="16150" width="11.5" style="181" bestFit="1" customWidth="1"/>
    <col min="16151" max="16151" width="6.125" style="181" bestFit="1" customWidth="1"/>
    <col min="16152" max="16152" width="4.625" style="181" bestFit="1" customWidth="1"/>
    <col min="16153" max="16155" width="6.125" style="181" bestFit="1" customWidth="1"/>
    <col min="16156" max="16156" width="9" style="181"/>
    <col min="16157" max="16157" width="9.125" style="181" customWidth="1"/>
    <col min="16158" max="16384" width="9" style="181"/>
  </cols>
  <sheetData>
    <row r="1" spans="1:31" ht="20.25">
      <c r="A1" s="927" t="s">
        <v>852</v>
      </c>
      <c r="B1" s="928"/>
      <c r="C1" s="928"/>
      <c r="D1" s="928"/>
      <c r="E1" s="928"/>
      <c r="F1" s="928"/>
      <c r="G1" s="928"/>
      <c r="H1" s="928"/>
      <c r="I1" s="928"/>
      <c r="J1" s="928"/>
      <c r="K1" s="233" t="s">
        <v>659</v>
      </c>
    </row>
    <row r="2" spans="1:31" ht="20.100000000000001" customHeight="1" thickBot="1">
      <c r="A2" s="929" t="str">
        <f>'作(4)'!F4</f>
        <v>版本型录号</v>
      </c>
      <c r="B2" s="929"/>
      <c r="C2" s="929" t="e">
        <f>'作(4)'!H4</f>
        <v>#REF!</v>
      </c>
      <c r="D2" s="929"/>
      <c r="E2" s="929"/>
      <c r="F2" s="929"/>
      <c r="G2" s="237"/>
      <c r="H2" s="929" t="s">
        <v>660</v>
      </c>
      <c r="I2" s="929"/>
      <c r="J2" s="237">
        <f>+'作(4)'!O38</f>
        <v>0</v>
      </c>
    </row>
    <row r="3" spans="1:31" ht="23.25" customHeight="1">
      <c r="A3" s="921" t="str">
        <f>'作(4)'!A4</f>
        <v>客户姓名：</v>
      </c>
      <c r="B3" s="922"/>
      <c r="C3" s="238" t="e">
        <f>'作(4)'!C4</f>
        <v>#REF!</v>
      </c>
      <c r="D3" s="922"/>
      <c r="E3" s="922"/>
      <c r="F3" s="923"/>
      <c r="G3" s="238" t="str">
        <f>'作(4)'!F5</f>
        <v>下单日期：</v>
      </c>
      <c r="H3" s="239" t="str">
        <f>'作(4)'!H5</f>
        <v xml:space="preserve">  </v>
      </c>
      <c r="I3" s="922" t="s">
        <v>661</v>
      </c>
      <c r="J3" s="915" t="s">
        <v>662</v>
      </c>
      <c r="K3" s="235"/>
      <c r="L3" s="240" t="s">
        <v>663</v>
      </c>
      <c r="M3" s="241" t="s">
        <v>664</v>
      </c>
      <c r="N3" s="241" t="s">
        <v>665</v>
      </c>
      <c r="O3" s="241" t="s">
        <v>666</v>
      </c>
      <c r="P3" s="241" t="s">
        <v>667</v>
      </c>
      <c r="Q3" s="241" t="s">
        <v>668</v>
      </c>
      <c r="R3" s="242" t="s">
        <v>669</v>
      </c>
      <c r="S3" s="242" t="s">
        <v>670</v>
      </c>
      <c r="T3" s="241" t="s">
        <v>671</v>
      </c>
      <c r="U3" s="241"/>
      <c r="V3" s="241"/>
      <c r="W3" s="241"/>
      <c r="X3" s="241" t="s">
        <v>672</v>
      </c>
      <c r="Y3" s="241"/>
      <c r="Z3" s="241"/>
      <c r="AA3" s="241"/>
      <c r="AB3" s="243"/>
      <c r="AC3" s="917" t="s">
        <v>673</v>
      </c>
      <c r="AD3" s="917"/>
      <c r="AE3" s="918"/>
    </row>
    <row r="4" spans="1:31" ht="23.25" customHeight="1">
      <c r="A4" s="919" t="str">
        <f>'作(4)'!A5</f>
        <v>图纸编号：</v>
      </c>
      <c r="B4" s="920"/>
      <c r="C4" s="244" t="e">
        <f>'作(4)'!C5</f>
        <v>#REF!</v>
      </c>
      <c r="D4" s="920"/>
      <c r="E4" s="920"/>
      <c r="F4" s="924"/>
      <c r="G4" s="244" t="str">
        <f>'作(4)'!J5</f>
        <v>城市</v>
      </c>
      <c r="H4" s="245" t="e">
        <f>'作(4)'!K5</f>
        <v>#REF!</v>
      </c>
      <c r="I4" s="920"/>
      <c r="J4" s="916"/>
      <c r="K4" s="246"/>
      <c r="L4" s="247"/>
      <c r="M4" s="248"/>
      <c r="N4" s="248"/>
      <c r="O4" s="248"/>
      <c r="P4" s="248"/>
      <c r="Q4" s="248"/>
      <c r="R4" s="249"/>
      <c r="S4" s="249"/>
      <c r="T4" s="250" t="s">
        <v>674</v>
      </c>
      <c r="U4" s="250" t="s">
        <v>675</v>
      </c>
      <c r="V4" s="250" t="s">
        <v>676</v>
      </c>
      <c r="W4" s="250" t="s">
        <v>677</v>
      </c>
      <c r="X4" s="250" t="s">
        <v>674</v>
      </c>
      <c r="Y4" s="250" t="s">
        <v>675</v>
      </c>
      <c r="Z4" s="250" t="s">
        <v>678</v>
      </c>
      <c r="AA4" s="250" t="s">
        <v>677</v>
      </c>
      <c r="AB4" s="251"/>
      <c r="AC4" s="250" t="s">
        <v>674</v>
      </c>
      <c r="AD4" s="250" t="s">
        <v>675</v>
      </c>
      <c r="AE4" s="252" t="s">
        <v>678</v>
      </c>
    </row>
    <row r="5" spans="1:31" ht="23.25" customHeight="1">
      <c r="A5" s="253" t="s">
        <v>679</v>
      </c>
      <c r="B5" s="244" t="s">
        <v>680</v>
      </c>
      <c r="C5" s="254" t="s">
        <v>681</v>
      </c>
      <c r="D5" s="920" t="s">
        <v>682</v>
      </c>
      <c r="E5" s="920"/>
      <c r="F5" s="255" t="s">
        <v>683</v>
      </c>
      <c r="G5" s="244" t="s">
        <v>684</v>
      </c>
      <c r="H5" s="920" t="s">
        <v>685</v>
      </c>
      <c r="I5" s="920"/>
      <c r="J5" s="916"/>
      <c r="K5" s="256" t="s">
        <v>853</v>
      </c>
      <c r="L5" s="257" t="str">
        <f>O5&amp;N5</f>
        <v>L02象牙白</v>
      </c>
      <c r="M5" s="258" t="s">
        <v>686</v>
      </c>
      <c r="N5" s="259" t="s">
        <v>687</v>
      </c>
      <c r="O5" s="259" t="s">
        <v>688</v>
      </c>
      <c r="P5" s="258" t="s">
        <v>689</v>
      </c>
      <c r="Q5" s="259" t="s">
        <v>690</v>
      </c>
      <c r="R5" s="259">
        <v>370</v>
      </c>
      <c r="S5" s="259">
        <v>1</v>
      </c>
      <c r="T5" s="259" t="s">
        <v>691</v>
      </c>
      <c r="U5" s="259" t="s">
        <v>692</v>
      </c>
      <c r="V5" s="259" t="s">
        <v>693</v>
      </c>
      <c r="W5" s="258" t="s">
        <v>694</v>
      </c>
      <c r="X5" s="259">
        <v>1</v>
      </c>
      <c r="Y5" s="259">
        <v>0.5</v>
      </c>
      <c r="Z5" s="260">
        <v>0.6</v>
      </c>
      <c r="AA5" s="258" t="s">
        <v>694</v>
      </c>
      <c r="AB5" s="251"/>
      <c r="AC5" s="261">
        <f t="shared" ref="AC5:AC14" si="0">+X5/(X5+Y5+Z5)*R5*S5/1000*$J$2</f>
        <v>0</v>
      </c>
      <c r="AD5" s="261">
        <f t="shared" ref="AD5:AD14" si="1">+Y5/(X5+Y5+Z5)*R5*S5/1000*$J$2</f>
        <v>0</v>
      </c>
      <c r="AE5" s="262">
        <f t="shared" ref="AE5:AE14" si="2">+Z5/(X5+Y5+Z5)*R5*S5/1000*$J$2</f>
        <v>0</v>
      </c>
    </row>
    <row r="6" spans="1:31" ht="23.25" customHeight="1">
      <c r="A6" s="913" t="s">
        <v>695</v>
      </c>
      <c r="B6" s="263">
        <v>1</v>
      </c>
      <c r="C6" s="264" t="str">
        <f>'作(4)'!I8</f>
        <v>18A暖白双贴三聚氰胺刨花板</v>
      </c>
      <c r="D6" s="906" t="s">
        <v>696</v>
      </c>
      <c r="E6" s="906"/>
      <c r="F6" s="265">
        <f>+ROUNDUP('作(4)'!N38,1)</f>
        <v>0</v>
      </c>
      <c r="G6" s="263" t="s">
        <v>697</v>
      </c>
      <c r="H6" s="925">
        <f>'作(4)'!$F$6</f>
        <v>0</v>
      </c>
      <c r="I6" s="925"/>
      <c r="J6" s="926"/>
      <c r="K6" s="246" t="s">
        <v>698</v>
      </c>
      <c r="L6" s="257" t="str">
        <f t="shared" ref="L6:L23" si="3">O6&amp;N6</f>
        <v>L12纯白</v>
      </c>
      <c r="M6" s="258"/>
      <c r="N6" s="259" t="s">
        <v>699</v>
      </c>
      <c r="O6" s="259" t="s">
        <v>700</v>
      </c>
      <c r="P6" s="258" t="s">
        <v>701</v>
      </c>
      <c r="Q6" s="259" t="s">
        <v>702</v>
      </c>
      <c r="R6" s="259">
        <v>370</v>
      </c>
      <c r="S6" s="259">
        <v>1</v>
      </c>
      <c r="T6" s="259" t="s">
        <v>703</v>
      </c>
      <c r="U6" s="259" t="s">
        <v>704</v>
      </c>
      <c r="V6" s="259" t="s">
        <v>705</v>
      </c>
      <c r="W6" s="258"/>
      <c r="X6" s="259">
        <v>1</v>
      </c>
      <c r="Y6" s="259">
        <v>0.5</v>
      </c>
      <c r="Z6" s="260">
        <v>0.5</v>
      </c>
      <c r="AA6" s="258"/>
      <c r="AB6" s="251"/>
      <c r="AC6" s="261">
        <f t="shared" si="0"/>
        <v>0</v>
      </c>
      <c r="AD6" s="261">
        <f t="shared" si="1"/>
        <v>0</v>
      </c>
      <c r="AE6" s="262">
        <f t="shared" si="2"/>
        <v>0</v>
      </c>
    </row>
    <row r="7" spans="1:31" ht="23.25" customHeight="1">
      <c r="A7" s="913"/>
      <c r="B7" s="263">
        <v>2</v>
      </c>
      <c r="C7" s="263" t="s">
        <v>648</v>
      </c>
      <c r="D7" s="912" t="s">
        <v>706</v>
      </c>
      <c r="E7" s="912"/>
      <c r="F7" s="266">
        <f>+'作(4)'!M38</f>
        <v>0</v>
      </c>
      <c r="G7" s="263" t="s">
        <v>707</v>
      </c>
      <c r="H7" s="925"/>
      <c r="I7" s="925"/>
      <c r="J7" s="926"/>
      <c r="K7" s="246" t="s">
        <v>708</v>
      </c>
      <c r="L7" s="257" t="str">
        <f t="shared" si="3"/>
        <v>L01珍珠白</v>
      </c>
      <c r="M7" s="258"/>
      <c r="N7" s="259" t="s">
        <v>709</v>
      </c>
      <c r="O7" s="259" t="s">
        <v>710</v>
      </c>
      <c r="P7" s="258" t="s">
        <v>701</v>
      </c>
      <c r="Q7" s="259" t="s">
        <v>702</v>
      </c>
      <c r="R7" s="259">
        <v>310</v>
      </c>
      <c r="S7" s="259">
        <v>1</v>
      </c>
      <c r="T7" s="259" t="s">
        <v>711</v>
      </c>
      <c r="U7" s="259" t="s">
        <v>692</v>
      </c>
      <c r="V7" s="259" t="s">
        <v>693</v>
      </c>
      <c r="W7" s="258" t="s">
        <v>712</v>
      </c>
      <c r="X7" s="259">
        <v>1</v>
      </c>
      <c r="Y7" s="259">
        <v>0.5</v>
      </c>
      <c r="Z7" s="260">
        <v>0.6</v>
      </c>
      <c r="AA7" s="258" t="s">
        <v>712</v>
      </c>
      <c r="AB7" s="251"/>
      <c r="AC7" s="261">
        <f t="shared" si="0"/>
        <v>0</v>
      </c>
      <c r="AD7" s="261">
        <f t="shared" si="1"/>
        <v>0</v>
      </c>
      <c r="AE7" s="262">
        <f t="shared" si="2"/>
        <v>0</v>
      </c>
    </row>
    <row r="8" spans="1:31" ht="23.25" customHeight="1">
      <c r="A8" s="913"/>
      <c r="B8" s="263">
        <v>3</v>
      </c>
      <c r="C8" s="263" t="s">
        <v>713</v>
      </c>
      <c r="D8" s="906" t="s">
        <v>453</v>
      </c>
      <c r="E8" s="906"/>
      <c r="F8" s="266">
        <f>F7*4.1</f>
        <v>0</v>
      </c>
      <c r="G8" s="263" t="s">
        <v>714</v>
      </c>
      <c r="H8" s="925"/>
      <c r="I8" s="925"/>
      <c r="J8" s="926"/>
      <c r="K8" s="235"/>
      <c r="L8" s="257" t="str">
        <f t="shared" si="3"/>
        <v>L02象牙白</v>
      </c>
      <c r="M8" s="258"/>
      <c r="N8" s="259" t="s">
        <v>687</v>
      </c>
      <c r="O8" s="259" t="s">
        <v>688</v>
      </c>
      <c r="P8" s="258" t="s">
        <v>701</v>
      </c>
      <c r="Q8" s="259" t="s">
        <v>702</v>
      </c>
      <c r="R8" s="259">
        <v>310</v>
      </c>
      <c r="S8" s="259">
        <v>1</v>
      </c>
      <c r="T8" s="259" t="s">
        <v>691</v>
      </c>
      <c r="U8" s="259" t="s">
        <v>692</v>
      </c>
      <c r="V8" s="259" t="s">
        <v>693</v>
      </c>
      <c r="W8" s="258"/>
      <c r="X8" s="259">
        <v>1</v>
      </c>
      <c r="Y8" s="259">
        <v>0.5</v>
      </c>
      <c r="Z8" s="260">
        <v>0.6</v>
      </c>
      <c r="AA8" s="258"/>
      <c r="AB8" s="251"/>
      <c r="AC8" s="261">
        <f t="shared" si="0"/>
        <v>0</v>
      </c>
      <c r="AD8" s="261">
        <f t="shared" si="1"/>
        <v>0</v>
      </c>
      <c r="AE8" s="262">
        <f t="shared" si="2"/>
        <v>0</v>
      </c>
    </row>
    <row r="9" spans="1:31" ht="23.25" customHeight="1">
      <c r="A9" s="913" t="s">
        <v>715</v>
      </c>
      <c r="B9" s="263">
        <v>1</v>
      </c>
      <c r="C9" s="310" t="s">
        <v>855</v>
      </c>
      <c r="D9" s="914" t="s">
        <v>856</v>
      </c>
      <c r="E9" s="914"/>
      <c r="F9" s="266">
        <f>+AC28</f>
        <v>0</v>
      </c>
      <c r="G9" s="263" t="s">
        <v>716</v>
      </c>
      <c r="H9" s="906"/>
      <c r="I9" s="906"/>
      <c r="J9" s="907"/>
      <c r="K9" s="235"/>
      <c r="L9" s="257" t="str">
        <f t="shared" si="3"/>
        <v>L05浅灰</v>
      </c>
      <c r="M9" s="258"/>
      <c r="N9" s="259" t="s">
        <v>717</v>
      </c>
      <c r="O9" s="259" t="s">
        <v>718</v>
      </c>
      <c r="P9" s="258" t="s">
        <v>719</v>
      </c>
      <c r="Q9" s="259" t="s">
        <v>720</v>
      </c>
      <c r="R9" s="259">
        <v>310</v>
      </c>
      <c r="S9" s="259">
        <v>1</v>
      </c>
      <c r="T9" s="259" t="s">
        <v>721</v>
      </c>
      <c r="U9" s="259" t="s">
        <v>722</v>
      </c>
      <c r="V9" s="259" t="s">
        <v>693</v>
      </c>
      <c r="W9" s="258"/>
      <c r="X9" s="259">
        <v>1</v>
      </c>
      <c r="Y9" s="259">
        <v>0.5</v>
      </c>
      <c r="Z9" s="260">
        <v>0.6</v>
      </c>
      <c r="AA9" s="258"/>
      <c r="AB9" s="251"/>
      <c r="AC9" s="261">
        <f t="shared" si="0"/>
        <v>0</v>
      </c>
      <c r="AD9" s="261">
        <f t="shared" si="1"/>
        <v>0</v>
      </c>
      <c r="AE9" s="262">
        <f t="shared" si="2"/>
        <v>0</v>
      </c>
    </row>
    <row r="10" spans="1:31" ht="23.25" customHeight="1">
      <c r="A10" s="913"/>
      <c r="B10" s="263">
        <v>2</v>
      </c>
      <c r="C10" s="310" t="s">
        <v>855</v>
      </c>
      <c r="D10" s="914" t="s">
        <v>857</v>
      </c>
      <c r="E10" s="914"/>
      <c r="F10" s="266">
        <f>+AC29</f>
        <v>0</v>
      </c>
      <c r="G10" s="263" t="s">
        <v>716</v>
      </c>
      <c r="H10" s="906"/>
      <c r="I10" s="906"/>
      <c r="J10" s="907"/>
      <c r="K10" s="235"/>
      <c r="L10" s="257" t="str">
        <f t="shared" si="3"/>
        <v>L06卡布奇诺</v>
      </c>
      <c r="M10" s="258" t="s">
        <v>723</v>
      </c>
      <c r="N10" s="259" t="s">
        <v>724</v>
      </c>
      <c r="O10" s="259" t="s">
        <v>725</v>
      </c>
      <c r="P10" s="258" t="s">
        <v>726</v>
      </c>
      <c r="Q10" s="259" t="s">
        <v>727</v>
      </c>
      <c r="R10" s="259">
        <v>310</v>
      </c>
      <c r="S10" s="259">
        <v>1</v>
      </c>
      <c r="T10" s="259" t="s">
        <v>728</v>
      </c>
      <c r="U10" s="259" t="s">
        <v>722</v>
      </c>
      <c r="V10" s="259" t="s">
        <v>693</v>
      </c>
      <c r="W10" s="258"/>
      <c r="X10" s="259">
        <v>1</v>
      </c>
      <c r="Y10" s="259">
        <v>0.5</v>
      </c>
      <c r="Z10" s="260">
        <v>0.6</v>
      </c>
      <c r="AA10" s="258"/>
      <c r="AB10" s="251"/>
      <c r="AC10" s="261">
        <f t="shared" si="0"/>
        <v>0</v>
      </c>
      <c r="AD10" s="261">
        <f t="shared" si="1"/>
        <v>0</v>
      </c>
      <c r="AE10" s="262">
        <f t="shared" si="2"/>
        <v>0</v>
      </c>
    </row>
    <row r="11" spans="1:31" ht="23.25" customHeight="1">
      <c r="A11" s="913"/>
      <c r="B11" s="263">
        <v>6</v>
      </c>
      <c r="C11" s="912" t="s">
        <v>729</v>
      </c>
      <c r="D11" s="906" t="str">
        <f>T30</f>
        <v>T20975</v>
      </c>
      <c r="E11" s="906"/>
      <c r="F11" s="266">
        <f>AC30</f>
        <v>0</v>
      </c>
      <c r="G11" s="263" t="s">
        <v>730</v>
      </c>
      <c r="H11" s="906"/>
      <c r="I11" s="906"/>
      <c r="J11" s="907"/>
      <c r="K11" s="235"/>
      <c r="L11" s="257" t="str">
        <f t="shared" si="3"/>
        <v>L11纯黑</v>
      </c>
      <c r="M11" s="258"/>
      <c r="N11" s="259" t="s">
        <v>731</v>
      </c>
      <c r="O11" s="259" t="s">
        <v>732</v>
      </c>
      <c r="P11" s="258" t="s">
        <v>701</v>
      </c>
      <c r="Q11" s="259" t="s">
        <v>702</v>
      </c>
      <c r="R11" s="259">
        <v>310</v>
      </c>
      <c r="S11" s="259">
        <v>1</v>
      </c>
      <c r="T11" s="259" t="s">
        <v>733</v>
      </c>
      <c r="U11" s="259" t="s">
        <v>722</v>
      </c>
      <c r="V11" s="259" t="s">
        <v>693</v>
      </c>
      <c r="W11" s="258"/>
      <c r="X11" s="259">
        <v>1</v>
      </c>
      <c r="Y11" s="259">
        <v>0.5</v>
      </c>
      <c r="Z11" s="260">
        <v>0.6</v>
      </c>
      <c r="AA11" s="258"/>
      <c r="AB11" s="251"/>
      <c r="AC11" s="261">
        <f t="shared" si="0"/>
        <v>0</v>
      </c>
      <c r="AD11" s="261">
        <f t="shared" si="1"/>
        <v>0</v>
      </c>
      <c r="AE11" s="262">
        <f t="shared" si="2"/>
        <v>0</v>
      </c>
    </row>
    <row r="12" spans="1:31" ht="23.25" customHeight="1">
      <c r="A12" s="913"/>
      <c r="B12" s="263">
        <v>7</v>
      </c>
      <c r="C12" s="912"/>
      <c r="D12" s="906" t="str">
        <f>U30</f>
        <v>PR66</v>
      </c>
      <c r="E12" s="906"/>
      <c r="F12" s="266">
        <f>AD30</f>
        <v>0</v>
      </c>
      <c r="G12" s="263" t="s">
        <v>734</v>
      </c>
      <c r="H12" s="906"/>
      <c r="I12" s="906"/>
      <c r="J12" s="907"/>
      <c r="K12" s="235"/>
      <c r="L12" s="257" t="str">
        <f t="shared" si="3"/>
        <v>L12纯白</v>
      </c>
      <c r="M12" s="258"/>
      <c r="N12" s="259" t="s">
        <v>699</v>
      </c>
      <c r="O12" s="259" t="s">
        <v>700</v>
      </c>
      <c r="P12" s="258" t="s">
        <v>735</v>
      </c>
      <c r="Q12" s="259" t="s">
        <v>736</v>
      </c>
      <c r="R12" s="259">
        <v>310</v>
      </c>
      <c r="S12" s="259">
        <v>1</v>
      </c>
      <c r="T12" s="259" t="s">
        <v>703</v>
      </c>
      <c r="U12" s="259" t="s">
        <v>737</v>
      </c>
      <c r="V12" s="259" t="s">
        <v>738</v>
      </c>
      <c r="W12" s="258"/>
      <c r="X12" s="259">
        <v>1</v>
      </c>
      <c r="Y12" s="259">
        <v>0.5</v>
      </c>
      <c r="Z12" s="260">
        <v>0.5</v>
      </c>
      <c r="AA12" s="258"/>
      <c r="AB12" s="251"/>
      <c r="AC12" s="261">
        <f t="shared" si="0"/>
        <v>0</v>
      </c>
      <c r="AD12" s="261">
        <f t="shared" si="1"/>
        <v>0</v>
      </c>
      <c r="AE12" s="262">
        <f t="shared" si="2"/>
        <v>0</v>
      </c>
    </row>
    <row r="13" spans="1:31" ht="23.25" customHeight="1">
      <c r="A13" s="913"/>
      <c r="B13" s="263">
        <v>8</v>
      </c>
      <c r="C13" s="912"/>
      <c r="D13" s="906" t="str">
        <f>V30</f>
        <v>PX705/PX707</v>
      </c>
      <c r="E13" s="906"/>
      <c r="F13" s="266">
        <f>AE30</f>
        <v>0</v>
      </c>
      <c r="G13" s="263" t="s">
        <v>739</v>
      </c>
      <c r="H13" s="906"/>
      <c r="I13" s="906"/>
      <c r="J13" s="907"/>
      <c r="K13" s="235"/>
      <c r="L13" s="257" t="str">
        <f t="shared" si="3"/>
        <v>G01珍珠白</v>
      </c>
      <c r="M13" s="258"/>
      <c r="N13" s="259" t="s">
        <v>709</v>
      </c>
      <c r="O13" s="259" t="s">
        <v>740</v>
      </c>
      <c r="P13" s="258" t="s">
        <v>741</v>
      </c>
      <c r="Q13" s="259" t="s">
        <v>736</v>
      </c>
      <c r="R13" s="259">
        <v>325</v>
      </c>
      <c r="S13" s="259">
        <v>2</v>
      </c>
      <c r="T13" s="259" t="s">
        <v>711</v>
      </c>
      <c r="U13" s="259" t="s">
        <v>692</v>
      </c>
      <c r="V13" s="259" t="s">
        <v>693</v>
      </c>
      <c r="W13" s="258" t="s">
        <v>712</v>
      </c>
      <c r="X13" s="259">
        <v>1</v>
      </c>
      <c r="Y13" s="259">
        <v>0.5</v>
      </c>
      <c r="Z13" s="260">
        <v>0.6</v>
      </c>
      <c r="AA13" s="258" t="s">
        <v>712</v>
      </c>
      <c r="AB13" s="251"/>
      <c r="AC13" s="261">
        <f t="shared" si="0"/>
        <v>0</v>
      </c>
      <c r="AD13" s="261">
        <f t="shared" si="1"/>
        <v>0</v>
      </c>
      <c r="AE13" s="262">
        <f t="shared" si="2"/>
        <v>0</v>
      </c>
    </row>
    <row r="14" spans="1:31" ht="23.25" customHeight="1">
      <c r="A14" s="913"/>
      <c r="B14" s="263"/>
      <c r="C14" s="912"/>
      <c r="D14" s="906" t="str">
        <f>+IF($K$5=$K$6,"","慢干水")</f>
        <v>慢干水</v>
      </c>
      <c r="E14" s="906"/>
      <c r="F14" s="266">
        <f>IF(D14="","",F13*0.34)</f>
        <v>0</v>
      </c>
      <c r="G14" s="263" t="s">
        <v>739</v>
      </c>
      <c r="H14" s="906"/>
      <c r="I14" s="906"/>
      <c r="J14" s="907"/>
      <c r="K14" s="235"/>
      <c r="L14" s="257" t="str">
        <f t="shared" si="3"/>
        <v>G02象牙白</v>
      </c>
      <c r="M14" s="258"/>
      <c r="N14" s="259" t="s">
        <v>687</v>
      </c>
      <c r="O14" s="259" t="s">
        <v>742</v>
      </c>
      <c r="P14" s="258"/>
      <c r="Q14" s="259" t="s">
        <v>736</v>
      </c>
      <c r="R14" s="259">
        <v>325</v>
      </c>
      <c r="S14" s="259">
        <v>2</v>
      </c>
      <c r="T14" s="259" t="s">
        <v>691</v>
      </c>
      <c r="U14" s="259" t="s">
        <v>692</v>
      </c>
      <c r="V14" s="259" t="s">
        <v>693</v>
      </c>
      <c r="W14" s="258"/>
      <c r="X14" s="259">
        <v>1</v>
      </c>
      <c r="Y14" s="259">
        <v>0.5</v>
      </c>
      <c r="Z14" s="260">
        <v>0.6</v>
      </c>
      <c r="AA14" s="258"/>
      <c r="AB14" s="251"/>
      <c r="AC14" s="261">
        <f t="shared" si="0"/>
        <v>0</v>
      </c>
      <c r="AD14" s="261">
        <f t="shared" si="1"/>
        <v>0</v>
      </c>
      <c r="AE14" s="262">
        <f t="shared" si="2"/>
        <v>0</v>
      </c>
    </row>
    <row r="15" spans="1:31" ht="23.25" customHeight="1">
      <c r="A15" s="913"/>
      <c r="B15" s="263">
        <v>9</v>
      </c>
      <c r="C15" s="912" t="s">
        <v>743</v>
      </c>
      <c r="D15" s="906" t="e">
        <f>VLOOKUP($H$6,$L$1:$AE$26,9,0)</f>
        <v>#N/A</v>
      </c>
      <c r="E15" s="906"/>
      <c r="F15" s="266" t="e">
        <f>VLOOKUP($H$6,$L$1:$AE$26,18,0)</f>
        <v>#N/A</v>
      </c>
      <c r="G15" s="263" t="s">
        <v>739</v>
      </c>
      <c r="H15" s="906"/>
      <c r="I15" s="906"/>
      <c r="J15" s="907"/>
      <c r="K15" s="235"/>
      <c r="L15" s="257" t="str">
        <f t="shared" si="3"/>
        <v>G06卡布奇诺</v>
      </c>
      <c r="M15" s="258"/>
      <c r="N15" s="259" t="s">
        <v>724</v>
      </c>
      <c r="O15" s="259" t="s">
        <v>744</v>
      </c>
      <c r="P15" s="258"/>
      <c r="Q15" s="259" t="s">
        <v>736</v>
      </c>
      <c r="R15" s="259">
        <v>325</v>
      </c>
      <c r="S15" s="259">
        <v>2</v>
      </c>
      <c r="T15" s="259" t="s">
        <v>728</v>
      </c>
      <c r="U15" s="259" t="s">
        <v>722</v>
      </c>
      <c r="V15" s="259" t="s">
        <v>693</v>
      </c>
      <c r="W15" s="258"/>
      <c r="X15" s="259">
        <v>1</v>
      </c>
      <c r="Y15" s="259">
        <v>0.5</v>
      </c>
      <c r="Z15" s="260">
        <v>0.8</v>
      </c>
      <c r="AA15" s="258"/>
      <c r="AB15" s="251"/>
      <c r="AC15" s="261">
        <f>+X15/(X15+Y15+Z15)*R15*S15/1000*$J$2</f>
        <v>0</v>
      </c>
      <c r="AD15" s="261">
        <f>+Y15/(X15+Y15+Z15)*R15*S15/1000*$J$2</f>
        <v>0</v>
      </c>
      <c r="AE15" s="262">
        <f>+Z15/(X15+Y15+Z15)*R15*S15/1000*$J$2</f>
        <v>0</v>
      </c>
    </row>
    <row r="16" spans="1:31" ht="23.25" customHeight="1">
      <c r="A16" s="913"/>
      <c r="B16" s="263">
        <v>10</v>
      </c>
      <c r="C16" s="912"/>
      <c r="D16" s="906" t="e">
        <f>VLOOKUP($H$6,$L$1:$AE$26,10,0)</f>
        <v>#N/A</v>
      </c>
      <c r="E16" s="906"/>
      <c r="F16" s="266" t="e">
        <f>VLOOKUP($H$6,$L$1:$AE$25,19,0)</f>
        <v>#N/A</v>
      </c>
      <c r="G16" s="263" t="s">
        <v>739</v>
      </c>
      <c r="H16" s="906"/>
      <c r="I16" s="906"/>
      <c r="J16" s="907"/>
      <c r="K16" s="235"/>
      <c r="L16" s="257" t="str">
        <f t="shared" si="3"/>
        <v>G07深灰</v>
      </c>
      <c r="M16" s="258"/>
      <c r="N16" s="259" t="s">
        <v>745</v>
      </c>
      <c r="O16" s="259" t="s">
        <v>746</v>
      </c>
      <c r="P16" s="258"/>
      <c r="Q16" s="259" t="s">
        <v>736</v>
      </c>
      <c r="R16" s="259">
        <v>325</v>
      </c>
      <c r="S16" s="259">
        <v>2</v>
      </c>
      <c r="T16" s="259" t="s">
        <v>747</v>
      </c>
      <c r="U16" s="259" t="s">
        <v>722</v>
      </c>
      <c r="V16" s="259" t="s">
        <v>693</v>
      </c>
      <c r="W16" s="258"/>
      <c r="X16" s="259">
        <v>1</v>
      </c>
      <c r="Y16" s="259">
        <v>0.5</v>
      </c>
      <c r="Z16" s="260">
        <v>0.8</v>
      </c>
      <c r="AA16" s="258"/>
      <c r="AB16" s="251"/>
      <c r="AC16" s="261">
        <f>+X16/(X16+Y16+Z16)*R16*S16/1000*$J$2</f>
        <v>0</v>
      </c>
      <c r="AD16" s="261">
        <f>+Y16/(X16+Y16+Z16)*R16*S16/1000*$J$2</f>
        <v>0</v>
      </c>
      <c r="AE16" s="262">
        <f>+Z16/(X16+Y16+Z16)*R16*S16/1000*$J$2</f>
        <v>0</v>
      </c>
    </row>
    <row r="17" spans="1:31" ht="23.25" customHeight="1">
      <c r="A17" s="913"/>
      <c r="B17" s="263">
        <v>11</v>
      </c>
      <c r="C17" s="912"/>
      <c r="D17" s="906" t="e">
        <f>VLOOKUP($H$6,$L$1:$AE$26,11,0)</f>
        <v>#N/A</v>
      </c>
      <c r="E17" s="906"/>
      <c r="F17" s="266" t="e">
        <f>VLOOKUP($H$6,$L$1:$AE$26,20,0)</f>
        <v>#N/A</v>
      </c>
      <c r="G17" s="263" t="s">
        <v>739</v>
      </c>
      <c r="H17" s="906"/>
      <c r="I17" s="906"/>
      <c r="J17" s="907"/>
      <c r="K17" s="235"/>
      <c r="L17" s="257" t="str">
        <f t="shared" si="3"/>
        <v>G08柠檬绿</v>
      </c>
      <c r="M17" s="258"/>
      <c r="N17" s="259" t="s">
        <v>748</v>
      </c>
      <c r="O17" s="259" t="s">
        <v>749</v>
      </c>
      <c r="P17" s="258"/>
      <c r="Q17" s="259" t="s">
        <v>736</v>
      </c>
      <c r="R17" s="259">
        <v>325</v>
      </c>
      <c r="S17" s="259">
        <v>2</v>
      </c>
      <c r="T17" s="259" t="s">
        <v>750</v>
      </c>
      <c r="U17" s="259" t="s">
        <v>751</v>
      </c>
      <c r="V17" s="259" t="s">
        <v>693</v>
      </c>
      <c r="W17" s="258"/>
      <c r="X17" s="259">
        <v>1</v>
      </c>
      <c r="Y17" s="259">
        <v>0.5</v>
      </c>
      <c r="Z17" s="260">
        <v>0.7</v>
      </c>
      <c r="AA17" s="258"/>
      <c r="AB17" s="251"/>
      <c r="AC17" s="261">
        <f>+X17/(X17+Y17+Z17)*R17*S17/1000*$J$2</f>
        <v>0</v>
      </c>
      <c r="AD17" s="261">
        <f>+Y17/(X17+Y17+Z17)*R17*S17/1000*$J$2</f>
        <v>0</v>
      </c>
      <c r="AE17" s="262">
        <f>+Z17/(X17+Y17+Z17)*R17*S17/1000*$J$2</f>
        <v>0</v>
      </c>
    </row>
    <row r="18" spans="1:31" ht="23.25" customHeight="1">
      <c r="A18" s="913"/>
      <c r="B18" s="263">
        <v>11</v>
      </c>
      <c r="C18" s="912"/>
      <c r="D18" s="906" t="e">
        <f>+IF(D17="RTS-10SL","",IF($K$5=$K$6,"","慢干水"))</f>
        <v>#N/A</v>
      </c>
      <c r="E18" s="906"/>
      <c r="F18" s="266" t="e">
        <f>IF(D18="","",F17*0.34)</f>
        <v>#N/A</v>
      </c>
      <c r="G18" s="263" t="e">
        <f>IF(D18="","","千克")</f>
        <v>#N/A</v>
      </c>
      <c r="H18" s="906"/>
      <c r="I18" s="906"/>
      <c r="J18" s="907"/>
      <c r="K18" s="235"/>
      <c r="L18" s="257" t="str">
        <f t="shared" si="3"/>
        <v>G09法拉利红</v>
      </c>
      <c r="M18" s="258"/>
      <c r="N18" s="259" t="s">
        <v>752</v>
      </c>
      <c r="O18" s="259" t="s">
        <v>753</v>
      </c>
      <c r="P18" s="258"/>
      <c r="Q18" s="259" t="s">
        <v>736</v>
      </c>
      <c r="R18" s="259">
        <v>325</v>
      </c>
      <c r="S18" s="259">
        <v>2</v>
      </c>
      <c r="T18" s="259" t="s">
        <v>754</v>
      </c>
      <c r="U18" s="259" t="s">
        <v>722</v>
      </c>
      <c r="V18" s="259" t="s">
        <v>693</v>
      </c>
      <c r="W18" s="258"/>
      <c r="X18" s="259">
        <v>1</v>
      </c>
      <c r="Y18" s="259">
        <v>0.5</v>
      </c>
      <c r="Z18" s="260">
        <v>0.8</v>
      </c>
      <c r="AA18" s="258"/>
      <c r="AB18" s="251"/>
      <c r="AC18" s="261">
        <f t="shared" ref="AC18:AC23" si="4">+X18/(X18+Y18+Z18)*R18*S18/1000*$J$2</f>
        <v>0</v>
      </c>
      <c r="AD18" s="261">
        <f t="shared" ref="AD18:AD23" si="5">+Y18/(X18+Y18+Z18)*R18*S18/1000*$J$2</f>
        <v>0</v>
      </c>
      <c r="AE18" s="262">
        <f t="shared" ref="AE18:AE23" si="6">+Z18/(X18+Y18+Z18)*R18*S18/1000*$J$2</f>
        <v>0</v>
      </c>
    </row>
    <row r="19" spans="1:31" ht="23.25" customHeight="1">
      <c r="A19" s="913"/>
      <c r="B19" s="267"/>
      <c r="C19" s="264" t="str">
        <f>+IF(MIDB(H6,1,1)="G","抛光液","")</f>
        <v/>
      </c>
      <c r="D19" s="906"/>
      <c r="E19" s="906"/>
      <c r="F19" s="268" t="str">
        <f>+IF(MIDB(H6,1,1)="G",J2*0.05,"")</f>
        <v/>
      </c>
      <c r="G19" s="263" t="str">
        <f>+IF(MIDB(H6,1,1)="G","千克","")</f>
        <v/>
      </c>
      <c r="H19" s="267"/>
      <c r="I19" s="267"/>
      <c r="J19" s="269"/>
      <c r="K19" s="235"/>
      <c r="L19" s="257" t="str">
        <f>O19&amp;N19</f>
        <v>G10酒红</v>
      </c>
      <c r="M19" s="258"/>
      <c r="N19" s="259" t="s">
        <v>755</v>
      </c>
      <c r="O19" s="259" t="s">
        <v>756</v>
      </c>
      <c r="P19" s="258"/>
      <c r="Q19" s="259" t="s">
        <v>736</v>
      </c>
      <c r="R19" s="259">
        <v>325</v>
      </c>
      <c r="S19" s="259">
        <v>2</v>
      </c>
      <c r="T19" s="259" t="s">
        <v>757</v>
      </c>
      <c r="U19" s="259" t="s">
        <v>722</v>
      </c>
      <c r="V19" s="259" t="s">
        <v>693</v>
      </c>
      <c r="W19" s="258"/>
      <c r="X19" s="259">
        <v>1</v>
      </c>
      <c r="Y19" s="259">
        <v>0.5</v>
      </c>
      <c r="Z19" s="260">
        <v>0.8</v>
      </c>
      <c r="AA19" s="258"/>
      <c r="AB19" s="251"/>
      <c r="AC19" s="261">
        <f t="shared" si="4"/>
        <v>0</v>
      </c>
      <c r="AD19" s="261">
        <f t="shared" si="5"/>
        <v>0</v>
      </c>
      <c r="AE19" s="262">
        <f t="shared" si="6"/>
        <v>0</v>
      </c>
    </row>
    <row r="20" spans="1:31" ht="23.25" customHeight="1">
      <c r="A20" s="913"/>
      <c r="B20" s="267"/>
      <c r="C20" s="264" t="str">
        <f>+IF(MIDB(H6,1,1)="G","白细腊","")</f>
        <v/>
      </c>
      <c r="D20" s="906"/>
      <c r="E20" s="906"/>
      <c r="F20" s="268" t="str">
        <f>+IF(MIDB(H6,1,1)="G",J2*0.07,"")</f>
        <v/>
      </c>
      <c r="G20" s="263" t="str">
        <f>+IF(MIDB(H6,1,1)="G","千克","")</f>
        <v/>
      </c>
      <c r="H20" s="267"/>
      <c r="I20" s="267"/>
      <c r="J20" s="269"/>
      <c r="K20" s="235"/>
      <c r="L20" s="257" t="str">
        <f>O20&amp;N20</f>
        <v>G11纯黑</v>
      </c>
      <c r="M20" s="258"/>
      <c r="N20" s="259" t="s">
        <v>758</v>
      </c>
      <c r="O20" s="259" t="s">
        <v>759</v>
      </c>
      <c r="P20" s="258"/>
      <c r="Q20" s="259" t="s">
        <v>736</v>
      </c>
      <c r="R20" s="259">
        <v>325</v>
      </c>
      <c r="S20" s="259">
        <v>2</v>
      </c>
      <c r="T20" s="259" t="s">
        <v>760</v>
      </c>
      <c r="U20" s="259" t="s">
        <v>722</v>
      </c>
      <c r="V20" s="259" t="s">
        <v>693</v>
      </c>
      <c r="W20" s="258"/>
      <c r="X20" s="259">
        <v>1</v>
      </c>
      <c r="Y20" s="259">
        <v>1</v>
      </c>
      <c r="Z20" s="260">
        <v>0.8</v>
      </c>
      <c r="AA20" s="258"/>
      <c r="AB20" s="251"/>
      <c r="AC20" s="261">
        <f t="shared" si="4"/>
        <v>0</v>
      </c>
      <c r="AD20" s="261">
        <f t="shared" si="5"/>
        <v>0</v>
      </c>
      <c r="AE20" s="262">
        <f t="shared" si="6"/>
        <v>0</v>
      </c>
    </row>
    <row r="21" spans="1:31" ht="23.25" customHeight="1">
      <c r="A21" s="908" t="s">
        <v>761</v>
      </c>
      <c r="B21" s="267"/>
      <c r="C21" s="267" t="str">
        <f>+IF('作(4)'!Q38&gt;0,"拉手","")</f>
        <v/>
      </c>
      <c r="D21" s="910" t="str">
        <f>+IF('作(4)'!Q38&gt;0,"LC-003","")</f>
        <v/>
      </c>
      <c r="E21" s="910"/>
      <c r="F21" s="265" t="str">
        <f>+IF('作(4)'!Q38&gt;0,'作(4)'!Q38,"")</f>
        <v/>
      </c>
      <c r="G21" s="267" t="str">
        <f>+IF('作(4)'!Q38&gt;0,"米","")</f>
        <v/>
      </c>
      <c r="H21" s="267"/>
      <c r="I21" s="267"/>
      <c r="J21" s="269"/>
      <c r="K21" s="235"/>
      <c r="L21" s="257" t="str">
        <f t="shared" si="3"/>
        <v>G10酒红</v>
      </c>
      <c r="M21" s="258"/>
      <c r="N21" s="259" t="s">
        <v>755</v>
      </c>
      <c r="O21" s="259" t="s">
        <v>756</v>
      </c>
      <c r="P21" s="258"/>
      <c r="Q21" s="259" t="s">
        <v>736</v>
      </c>
      <c r="R21" s="259">
        <v>325</v>
      </c>
      <c r="S21" s="259">
        <v>2</v>
      </c>
      <c r="T21" s="259" t="s">
        <v>757</v>
      </c>
      <c r="U21" s="259" t="s">
        <v>722</v>
      </c>
      <c r="V21" s="259" t="s">
        <v>693</v>
      </c>
      <c r="W21" s="258"/>
      <c r="X21" s="259">
        <v>1</v>
      </c>
      <c r="Y21" s="259">
        <v>0.5</v>
      </c>
      <c r="Z21" s="260">
        <v>0.8</v>
      </c>
      <c r="AA21" s="258"/>
      <c r="AB21" s="251"/>
      <c r="AC21" s="261">
        <f t="shared" si="4"/>
        <v>0</v>
      </c>
      <c r="AD21" s="261">
        <f t="shared" si="5"/>
        <v>0</v>
      </c>
      <c r="AE21" s="262">
        <f t="shared" si="6"/>
        <v>0</v>
      </c>
    </row>
    <row r="22" spans="1:31" ht="23.25" customHeight="1" thickBot="1">
      <c r="A22" s="909"/>
      <c r="B22" s="270"/>
      <c r="C22" s="270"/>
      <c r="D22" s="911" t="str">
        <f>+IF('作(4)'!Q38&gt;0,"普施宝免钉胶","")</f>
        <v/>
      </c>
      <c r="E22" s="911"/>
      <c r="F22" s="271"/>
      <c r="G22" s="270" t="str">
        <f>+IF('作(4)'!Q38&gt;0,"支","")</f>
        <v/>
      </c>
      <c r="H22" s="270"/>
      <c r="I22" s="270"/>
      <c r="J22" s="272"/>
      <c r="K22" s="235"/>
      <c r="L22" s="257" t="str">
        <f t="shared" si="3"/>
        <v>G11纯黑</v>
      </c>
      <c r="M22" s="258"/>
      <c r="N22" s="259" t="s">
        <v>758</v>
      </c>
      <c r="O22" s="259" t="s">
        <v>759</v>
      </c>
      <c r="P22" s="258"/>
      <c r="Q22" s="259" t="s">
        <v>736</v>
      </c>
      <c r="R22" s="259">
        <v>325</v>
      </c>
      <c r="S22" s="259">
        <v>2</v>
      </c>
      <c r="T22" s="259" t="s">
        <v>760</v>
      </c>
      <c r="U22" s="259" t="s">
        <v>722</v>
      </c>
      <c r="V22" s="259" t="s">
        <v>693</v>
      </c>
      <c r="W22" s="258"/>
      <c r="X22" s="259">
        <v>1</v>
      </c>
      <c r="Y22" s="259">
        <v>1</v>
      </c>
      <c r="Z22" s="260">
        <v>0.8</v>
      </c>
      <c r="AA22" s="258"/>
      <c r="AB22" s="251"/>
      <c r="AC22" s="261">
        <f t="shared" si="4"/>
        <v>0</v>
      </c>
      <c r="AD22" s="261">
        <f t="shared" si="5"/>
        <v>0</v>
      </c>
      <c r="AE22" s="262">
        <f t="shared" si="6"/>
        <v>0</v>
      </c>
    </row>
    <row r="23" spans="1:31" ht="24" customHeight="1">
      <c r="A23" s="902"/>
      <c r="B23" s="902"/>
      <c r="C23" s="273" t="s">
        <v>762</v>
      </c>
      <c r="D23" s="903" t="s">
        <v>1122</v>
      </c>
      <c r="E23" s="904"/>
      <c r="F23" s="274"/>
      <c r="G23" s="273"/>
      <c r="H23" s="904"/>
      <c r="I23" s="904"/>
      <c r="J23" s="275"/>
      <c r="K23" s="235"/>
      <c r="L23" s="257" t="str">
        <f t="shared" si="3"/>
        <v>G12纯白</v>
      </c>
      <c r="M23" s="258"/>
      <c r="N23" s="259" t="s">
        <v>699</v>
      </c>
      <c r="O23" s="259" t="s">
        <v>763</v>
      </c>
      <c r="P23" s="258"/>
      <c r="Q23" s="259" t="s">
        <v>736</v>
      </c>
      <c r="R23" s="259">
        <v>325</v>
      </c>
      <c r="S23" s="259">
        <v>2</v>
      </c>
      <c r="T23" s="259" t="s">
        <v>764</v>
      </c>
      <c r="U23" s="259" t="s">
        <v>765</v>
      </c>
      <c r="V23" s="259" t="s">
        <v>766</v>
      </c>
      <c r="W23" s="258"/>
      <c r="X23" s="259">
        <v>1</v>
      </c>
      <c r="Y23" s="259">
        <v>0.5</v>
      </c>
      <c r="Z23" s="260">
        <v>0.6</v>
      </c>
      <c r="AA23" s="258"/>
      <c r="AB23" s="251"/>
      <c r="AC23" s="261">
        <f t="shared" si="4"/>
        <v>0</v>
      </c>
      <c r="AD23" s="261">
        <f t="shared" si="5"/>
        <v>0</v>
      </c>
      <c r="AE23" s="262">
        <f t="shared" si="6"/>
        <v>0</v>
      </c>
    </row>
    <row r="24" spans="1:31" ht="15" customHeight="1">
      <c r="A24" s="276"/>
      <c r="B24" s="276"/>
      <c r="C24" s="273"/>
      <c r="D24" s="273"/>
      <c r="E24" s="277"/>
      <c r="F24" s="274"/>
      <c r="G24" s="273"/>
      <c r="H24" s="237"/>
      <c r="I24" s="237"/>
      <c r="J24" s="275"/>
      <c r="K24" s="235"/>
      <c r="L24" s="257"/>
      <c r="M24" s="258"/>
      <c r="N24" s="259"/>
      <c r="O24" s="259"/>
      <c r="P24" s="258"/>
      <c r="Q24" s="259"/>
      <c r="R24" s="259"/>
      <c r="S24" s="259"/>
      <c r="T24" s="259"/>
      <c r="U24" s="259"/>
      <c r="V24" s="259"/>
      <c r="W24" s="258"/>
      <c r="X24" s="259"/>
      <c r="Y24" s="259"/>
      <c r="Z24" s="260"/>
      <c r="AA24" s="258"/>
      <c r="AB24" s="251"/>
      <c r="AC24" s="261"/>
      <c r="AD24" s="261"/>
      <c r="AE24" s="262"/>
    </row>
    <row r="25" spans="1:31" ht="15" customHeight="1">
      <c r="A25" s="276"/>
      <c r="B25" s="276"/>
      <c r="C25" s="273" t="s">
        <v>767</v>
      </c>
      <c r="D25" s="905"/>
      <c r="E25" s="905"/>
      <c r="F25" s="274"/>
      <c r="G25" s="278"/>
      <c r="H25" s="904"/>
      <c r="I25" s="904"/>
      <c r="J25" s="275"/>
      <c r="K25" s="246"/>
      <c r="L25" s="257"/>
      <c r="M25" s="258"/>
      <c r="N25" s="259"/>
      <c r="O25" s="259"/>
      <c r="P25" s="258"/>
      <c r="Q25" s="259"/>
      <c r="R25" s="259"/>
      <c r="S25" s="259"/>
      <c r="T25" s="259"/>
      <c r="U25" s="259"/>
      <c r="V25" s="259"/>
      <c r="W25" s="258"/>
      <c r="X25" s="259"/>
      <c r="Y25" s="259"/>
      <c r="Z25" s="260"/>
      <c r="AA25" s="258"/>
      <c r="AB25" s="251"/>
      <c r="AC25" s="261"/>
      <c r="AD25" s="261"/>
      <c r="AE25" s="262"/>
    </row>
    <row r="26" spans="1:31" ht="15" thickBot="1">
      <c r="A26" s="279"/>
      <c r="B26" s="279"/>
      <c r="C26" s="279"/>
      <c r="D26" s="279"/>
      <c r="E26" s="279"/>
      <c r="F26" s="280"/>
      <c r="G26" s="279"/>
      <c r="H26" s="279"/>
      <c r="I26" s="279"/>
      <c r="J26" s="279"/>
      <c r="L26" s="281"/>
      <c r="M26" s="282"/>
      <c r="N26" s="283"/>
      <c r="O26" s="283"/>
      <c r="P26" s="282"/>
      <c r="Q26" s="283"/>
      <c r="R26" s="283"/>
      <c r="S26" s="283"/>
      <c r="T26" s="283"/>
      <c r="U26" s="283"/>
      <c r="V26" s="283"/>
      <c r="W26" s="282"/>
      <c r="X26" s="283"/>
      <c r="Y26" s="283"/>
      <c r="Z26" s="284"/>
      <c r="AA26" s="282"/>
      <c r="AB26" s="285"/>
      <c r="AC26" s="286"/>
      <c r="AD26" s="286"/>
      <c r="AE26" s="287"/>
    </row>
    <row r="27" spans="1:31" ht="15" thickBot="1"/>
    <row r="28" spans="1:31" ht="54">
      <c r="L28" s="289"/>
      <c r="M28" s="290" t="s">
        <v>768</v>
      </c>
      <c r="N28" s="290" t="s">
        <v>769</v>
      </c>
      <c r="O28" s="291" t="s">
        <v>770</v>
      </c>
      <c r="P28" s="291" t="s">
        <v>771</v>
      </c>
      <c r="Q28" s="291" t="s">
        <v>772</v>
      </c>
      <c r="R28" s="291">
        <v>35</v>
      </c>
      <c r="S28" s="291">
        <v>1</v>
      </c>
      <c r="T28" s="291" t="s">
        <v>773</v>
      </c>
      <c r="U28" s="291"/>
      <c r="V28" s="292"/>
      <c r="W28" s="291"/>
      <c r="X28" s="291"/>
      <c r="Y28" s="291"/>
      <c r="Z28" s="291"/>
      <c r="AA28" s="291"/>
      <c r="AB28" s="243"/>
      <c r="AC28" s="293">
        <f>+R28*S28/1000*$J$2</f>
        <v>0</v>
      </c>
      <c r="AD28" s="293"/>
      <c r="AE28" s="294"/>
    </row>
    <row r="29" spans="1:31" ht="27">
      <c r="L29" s="257"/>
      <c r="M29" s="295"/>
      <c r="N29" s="295"/>
      <c r="O29" s="296" t="s">
        <v>774</v>
      </c>
      <c r="P29" s="296" t="s">
        <v>771</v>
      </c>
      <c r="Q29" s="296" t="s">
        <v>772</v>
      </c>
      <c r="R29" s="296">
        <v>35</v>
      </c>
      <c r="S29" s="296">
        <v>1</v>
      </c>
      <c r="T29" s="296" t="s">
        <v>775</v>
      </c>
      <c r="U29" s="296"/>
      <c r="V29" s="297"/>
      <c r="W29" s="296"/>
      <c r="X29" s="296"/>
      <c r="Y29" s="296"/>
      <c r="Z29" s="296"/>
      <c r="AA29" s="296"/>
      <c r="AB29" s="251"/>
      <c r="AC29" s="261">
        <f>+R29*S29/1000*$J$2</f>
        <v>0</v>
      </c>
      <c r="AD29" s="261"/>
      <c r="AE29" s="262"/>
    </row>
    <row r="30" spans="1:31" ht="27">
      <c r="L30" s="257"/>
      <c r="M30" s="295"/>
      <c r="N30" s="295"/>
      <c r="O30" s="296" t="s">
        <v>776</v>
      </c>
      <c r="P30" s="296" t="s">
        <v>777</v>
      </c>
      <c r="Q30" s="296" t="s">
        <v>778</v>
      </c>
      <c r="R30" s="296">
        <v>323</v>
      </c>
      <c r="S30" s="296">
        <v>1</v>
      </c>
      <c r="T30" s="296" t="s">
        <v>779</v>
      </c>
      <c r="U30" s="296" t="s">
        <v>780</v>
      </c>
      <c r="V30" s="297" t="s">
        <v>781</v>
      </c>
      <c r="W30" s="296"/>
      <c r="X30" s="296">
        <v>1</v>
      </c>
      <c r="Y30" s="296">
        <v>0.4</v>
      </c>
      <c r="Z30" s="296">
        <v>0.35</v>
      </c>
      <c r="AA30" s="296"/>
      <c r="AB30" s="251"/>
      <c r="AC30" s="261">
        <f>+X30/(X30+Y30+Z30)*R30*S30/1000*$J$2</f>
        <v>0</v>
      </c>
      <c r="AD30" s="261">
        <f>+Y30/(X30+Y30+Z30)*R30*S30/1000*$J$2</f>
        <v>0</v>
      </c>
      <c r="AE30" s="262">
        <f>+Z30/(X30+Y30+Z30)*R30*S30/1000*$J$2</f>
        <v>0</v>
      </c>
    </row>
    <row r="31" spans="1:31" ht="40.5">
      <c r="L31" s="257"/>
      <c r="M31" s="295" t="s">
        <v>768</v>
      </c>
      <c r="N31" s="295" t="s">
        <v>782</v>
      </c>
      <c r="O31" s="296" t="s">
        <v>770</v>
      </c>
      <c r="P31" s="296" t="s">
        <v>771</v>
      </c>
      <c r="Q31" s="296" t="s">
        <v>772</v>
      </c>
      <c r="R31" s="296">
        <v>35</v>
      </c>
      <c r="S31" s="296">
        <v>1</v>
      </c>
      <c r="T31" s="296" t="s">
        <v>773</v>
      </c>
      <c r="U31" s="296"/>
      <c r="V31" s="297"/>
      <c r="W31" s="296"/>
      <c r="X31" s="296"/>
      <c r="Y31" s="296"/>
      <c r="Z31" s="296"/>
      <c r="AA31" s="296"/>
      <c r="AB31" s="251"/>
      <c r="AC31" s="261">
        <f>+R31*S31/1000*$J$2</f>
        <v>0</v>
      </c>
      <c r="AD31" s="261"/>
      <c r="AE31" s="262"/>
    </row>
    <row r="32" spans="1:31" ht="27">
      <c r="L32" s="257"/>
      <c r="M32" s="295"/>
      <c r="N32" s="295"/>
      <c r="O32" s="296" t="s">
        <v>774</v>
      </c>
      <c r="P32" s="296" t="s">
        <v>771</v>
      </c>
      <c r="Q32" s="296" t="s">
        <v>772</v>
      </c>
      <c r="R32" s="296">
        <v>35</v>
      </c>
      <c r="S32" s="296">
        <v>1</v>
      </c>
      <c r="T32" s="296" t="s">
        <v>775</v>
      </c>
      <c r="U32" s="296"/>
      <c r="V32" s="297"/>
      <c r="W32" s="296"/>
      <c r="X32" s="296"/>
      <c r="Y32" s="296"/>
      <c r="Z32" s="296"/>
      <c r="AA32" s="296"/>
      <c r="AB32" s="251"/>
      <c r="AC32" s="261">
        <f>+R32*S32/1000*$J$2</f>
        <v>0</v>
      </c>
      <c r="AD32" s="261"/>
      <c r="AE32" s="262"/>
    </row>
    <row r="33" spans="12:31" ht="27.75" thickBot="1">
      <c r="L33" s="281"/>
      <c r="M33" s="298"/>
      <c r="N33" s="298"/>
      <c r="O33" s="299" t="s">
        <v>776</v>
      </c>
      <c r="P33" s="299" t="s">
        <v>777</v>
      </c>
      <c r="Q33" s="299" t="s">
        <v>778</v>
      </c>
      <c r="R33" s="299">
        <v>323</v>
      </c>
      <c r="S33" s="299">
        <v>1</v>
      </c>
      <c r="T33" s="299" t="s">
        <v>779</v>
      </c>
      <c r="U33" s="299" t="s">
        <v>780</v>
      </c>
      <c r="V33" s="300" t="s">
        <v>781</v>
      </c>
      <c r="W33" s="299"/>
      <c r="X33" s="299">
        <v>1</v>
      </c>
      <c r="Y33" s="299">
        <v>0.4</v>
      </c>
      <c r="Z33" s="299">
        <v>0.35</v>
      </c>
      <c r="AA33" s="299"/>
      <c r="AB33" s="285"/>
      <c r="AC33" s="286">
        <f>+X33/(X33+Y33+Z33)*R33*S33/1000*$J$2</f>
        <v>0</v>
      </c>
      <c r="AD33" s="286">
        <f>+Y33/(X33+Y33+Z33)*R33*S33/1000*$J$2</f>
        <v>0</v>
      </c>
      <c r="AE33" s="287">
        <f>+Z33/(X33+Y33+Z33)*R33*S33/1000*$J$2</f>
        <v>0</v>
      </c>
    </row>
  </sheetData>
  <mergeCells count="53">
    <mergeCell ref="A1:J1"/>
    <mergeCell ref="A2:B2"/>
    <mergeCell ref="C2:D2"/>
    <mergeCell ref="E2:F2"/>
    <mergeCell ref="H2:I2"/>
    <mergeCell ref="A6:A8"/>
    <mergeCell ref="D6:E6"/>
    <mergeCell ref="H6:J8"/>
    <mergeCell ref="D7:E7"/>
    <mergeCell ref="D8:E8"/>
    <mergeCell ref="J3:J4"/>
    <mergeCell ref="AC3:AE3"/>
    <mergeCell ref="A4:B4"/>
    <mergeCell ref="D5:E5"/>
    <mergeCell ref="H5:J5"/>
    <mergeCell ref="A3:B3"/>
    <mergeCell ref="D3:D4"/>
    <mergeCell ref="E3:E4"/>
    <mergeCell ref="F3:F4"/>
    <mergeCell ref="I3:I4"/>
    <mergeCell ref="D10:E10"/>
    <mergeCell ref="H10:J10"/>
    <mergeCell ref="C11:C14"/>
    <mergeCell ref="D11:E11"/>
    <mergeCell ref="H11:J11"/>
    <mergeCell ref="D12:E12"/>
    <mergeCell ref="H12:J12"/>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H17:J17"/>
    <mergeCell ref="D18:E18"/>
    <mergeCell ref="H18:J18"/>
    <mergeCell ref="D19:E19"/>
    <mergeCell ref="D20:E20"/>
    <mergeCell ref="A23:B23"/>
    <mergeCell ref="D23:E23"/>
    <mergeCell ref="H23:I23"/>
    <mergeCell ref="D25:E25"/>
    <mergeCell ref="H25:I25"/>
  </mergeCells>
  <phoneticPr fontId="59"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930" t="s">
        <v>1000</v>
      </c>
      <c r="B1" s="930"/>
      <c r="C1" s="930"/>
      <c r="D1" s="930"/>
      <c r="E1" s="930"/>
      <c r="F1" s="930"/>
      <c r="G1" s="930"/>
      <c r="H1" s="930"/>
      <c r="I1" s="930"/>
    </row>
    <row r="2" spans="1:9" ht="17.100000000000001" customHeight="1">
      <c r="G2" s="174" t="s">
        <v>1001</v>
      </c>
      <c r="H2" s="426">
        <v>1</v>
      </c>
      <c r="I2" s="173" t="s">
        <v>1002</v>
      </c>
    </row>
    <row r="3" spans="1:9" ht="17.100000000000001" customHeight="1">
      <c r="A3" s="179" t="s">
        <v>1003</v>
      </c>
      <c r="B3" s="805" t="e">
        <f>'作(5)'!C4</f>
        <v>#REF!</v>
      </c>
      <c r="C3" s="805"/>
      <c r="D3" s="179" t="s">
        <v>1004</v>
      </c>
      <c r="E3" s="805" t="e">
        <f>'作(5)'!C5</f>
        <v>#REF!</v>
      </c>
      <c r="F3" s="805"/>
      <c r="G3" s="179" t="s">
        <v>1005</v>
      </c>
      <c r="H3" s="805"/>
      <c r="I3" s="805"/>
    </row>
    <row r="4" spans="1:9" ht="17.100000000000001" customHeight="1">
      <c r="A4" s="179" t="s">
        <v>1006</v>
      </c>
      <c r="B4" s="805" t="str">
        <f>'作(5)'!K6</f>
        <v>左岸都市I</v>
      </c>
      <c r="C4" s="805"/>
      <c r="D4" s="179" t="s">
        <v>1007</v>
      </c>
      <c r="E4" s="805" t="str">
        <f>'作(5)'!F6</f>
        <v>樱桃山纹N03-V</v>
      </c>
      <c r="F4" s="805"/>
      <c r="G4" s="179" t="s">
        <v>1008</v>
      </c>
      <c r="H4" s="931">
        <f>'作(5)'!H5</f>
        <v>0</v>
      </c>
      <c r="I4" s="805"/>
    </row>
    <row r="5" spans="1:9" ht="17.100000000000001" customHeight="1">
      <c r="A5" s="179" t="s">
        <v>1009</v>
      </c>
      <c r="B5" s="805" t="e">
        <f>#REF!</f>
        <v>#REF!</v>
      </c>
      <c r="C5" s="805"/>
      <c r="D5" s="179" t="s">
        <v>1010</v>
      </c>
      <c r="E5" s="805">
        <f>'料单 (5)'!D4</f>
        <v>0</v>
      </c>
      <c r="F5" s="805"/>
      <c r="G5" s="179" t="s">
        <v>1011</v>
      </c>
      <c r="H5" s="805" t="e">
        <f>'料单 (5)'!L4</f>
        <v>#REF!</v>
      </c>
      <c r="I5" s="805"/>
    </row>
    <row r="6" spans="1:9" ht="17.100000000000001" customHeight="1">
      <c r="A6" s="180" t="s">
        <v>1012</v>
      </c>
      <c r="B6" s="179" t="s">
        <v>1013</v>
      </c>
      <c r="C6" s="179" t="s">
        <v>1014</v>
      </c>
      <c r="D6" s="179" t="s">
        <v>1015</v>
      </c>
      <c r="E6" s="179" t="s">
        <v>1016</v>
      </c>
      <c r="F6" s="179" t="s">
        <v>1017</v>
      </c>
      <c r="G6" s="179" t="s">
        <v>1018</v>
      </c>
      <c r="H6" s="805"/>
      <c r="I6" s="805"/>
    </row>
    <row r="7" spans="1:9" ht="17.100000000000001" customHeight="1">
      <c r="A7" s="180" t="s">
        <v>1019</v>
      </c>
      <c r="B7" s="180" t="s">
        <v>1020</v>
      </c>
      <c r="C7" s="180" t="s">
        <v>1021</v>
      </c>
      <c r="D7" s="179" t="s">
        <v>1005</v>
      </c>
      <c r="E7" s="179" t="s">
        <v>1022</v>
      </c>
      <c r="F7" s="180" t="s">
        <v>1023</v>
      </c>
      <c r="G7" s="180" t="s">
        <v>1024</v>
      </c>
      <c r="H7" s="808" t="s">
        <v>1025</v>
      </c>
      <c r="I7" s="808"/>
    </row>
    <row r="8" spans="1:9" ht="17.100000000000001" customHeight="1">
      <c r="A8" s="180">
        <v>1</v>
      </c>
      <c r="B8" s="180" t="s">
        <v>1026</v>
      </c>
      <c r="C8" s="175" t="str">
        <f>'作(5)'!K4</f>
        <v>0块</v>
      </c>
      <c r="D8" s="180"/>
      <c r="E8" s="180"/>
      <c r="F8" s="180"/>
      <c r="G8" s="180"/>
      <c r="H8" s="805"/>
      <c r="I8" s="805"/>
    </row>
    <row r="9" spans="1:9" ht="17.100000000000001" customHeight="1">
      <c r="A9" s="180">
        <v>2</v>
      </c>
      <c r="B9" s="180" t="s">
        <v>1027</v>
      </c>
      <c r="C9" s="175"/>
      <c r="D9" s="180"/>
      <c r="E9" s="180"/>
      <c r="F9" s="180"/>
      <c r="G9" s="180"/>
      <c r="H9" s="805"/>
      <c r="I9" s="805"/>
    </row>
    <row r="10" spans="1:9" ht="17.100000000000001" customHeight="1">
      <c r="A10" s="180">
        <v>3</v>
      </c>
      <c r="B10" s="180" t="s">
        <v>1028</v>
      </c>
      <c r="C10" s="175"/>
      <c r="D10" s="180"/>
      <c r="E10" s="180"/>
      <c r="F10" s="180"/>
      <c r="G10" s="180"/>
      <c r="H10" s="805"/>
      <c r="I10" s="805"/>
    </row>
    <row r="11" spans="1:9" ht="17.100000000000001" customHeight="1">
      <c r="A11" s="180">
        <v>4</v>
      </c>
      <c r="B11" s="180" t="s">
        <v>1029</v>
      </c>
      <c r="C11" s="175"/>
      <c r="D11" s="180"/>
      <c r="E11" s="180"/>
      <c r="F11" s="180"/>
      <c r="G11" s="180"/>
      <c r="H11" s="805"/>
      <c r="I11" s="805"/>
    </row>
    <row r="12" spans="1:9" ht="17.100000000000001" customHeight="1">
      <c r="A12" s="180">
        <v>5</v>
      </c>
      <c r="B12" s="180" t="s">
        <v>1030</v>
      </c>
      <c r="C12" s="175"/>
      <c r="D12" s="180"/>
      <c r="E12" s="180"/>
      <c r="F12" s="180"/>
      <c r="G12" s="180"/>
      <c r="H12" s="805"/>
      <c r="I12" s="805"/>
    </row>
    <row r="13" spans="1:9" ht="17.100000000000001" customHeight="1">
      <c r="A13" s="180">
        <v>6</v>
      </c>
      <c r="B13" s="180" t="s">
        <v>1031</v>
      </c>
      <c r="C13" s="175" t="str">
        <f>C8</f>
        <v>0块</v>
      </c>
      <c r="D13" s="180"/>
      <c r="E13" s="180"/>
      <c r="F13" s="180"/>
      <c r="G13" s="180"/>
      <c r="H13" s="805"/>
      <c r="I13" s="805"/>
    </row>
    <row r="14" spans="1:9" ht="17.100000000000001" customHeight="1">
      <c r="A14" s="180">
        <v>7</v>
      </c>
      <c r="B14" s="180" t="s">
        <v>1032</v>
      </c>
      <c r="C14" s="175" t="str">
        <f>C13</f>
        <v>0块</v>
      </c>
      <c r="D14" s="180"/>
      <c r="E14" s="180"/>
      <c r="F14" s="180"/>
      <c r="G14" s="180"/>
      <c r="H14" s="805"/>
      <c r="I14" s="805"/>
    </row>
    <row r="15" spans="1:9" ht="17.100000000000001" customHeight="1">
      <c r="A15" s="180">
        <v>8</v>
      </c>
      <c r="B15" s="180" t="s">
        <v>1033</v>
      </c>
      <c r="C15" s="175" t="str">
        <f>C14</f>
        <v>0块</v>
      </c>
      <c r="D15" s="180"/>
      <c r="E15" s="180"/>
      <c r="F15" s="180"/>
      <c r="G15" s="180"/>
      <c r="H15" s="805"/>
      <c r="I15" s="805"/>
    </row>
    <row r="16" spans="1:9" ht="17.100000000000001" customHeight="1">
      <c r="A16" s="180">
        <v>9</v>
      </c>
      <c r="B16" s="180" t="s">
        <v>1034</v>
      </c>
      <c r="C16" s="175" t="str">
        <f>C15</f>
        <v>0块</v>
      </c>
      <c r="D16" s="180"/>
      <c r="E16" s="175"/>
      <c r="F16" s="180"/>
      <c r="G16" s="180"/>
      <c r="H16" s="805"/>
      <c r="I16" s="805"/>
    </row>
    <row r="17" spans="1:9" ht="17.100000000000001" customHeight="1">
      <c r="A17" s="180">
        <v>10</v>
      </c>
      <c r="B17" s="180" t="s">
        <v>1035</v>
      </c>
      <c r="C17" s="175" t="str">
        <f>C16</f>
        <v>0块</v>
      </c>
      <c r="D17" s="180"/>
      <c r="E17" s="180"/>
      <c r="F17" s="180"/>
      <c r="G17" s="180"/>
      <c r="H17" s="805"/>
      <c r="I17" s="805"/>
    </row>
    <row r="18" spans="1:9" ht="17.100000000000001" customHeight="1">
      <c r="A18" s="180">
        <v>11</v>
      </c>
      <c r="B18" s="180" t="s">
        <v>1036</v>
      </c>
      <c r="C18" s="175"/>
      <c r="D18" s="180"/>
      <c r="E18" s="180"/>
      <c r="F18" s="180"/>
      <c r="G18" s="180"/>
      <c r="H18" s="805"/>
      <c r="I18" s="805"/>
    </row>
    <row r="19" spans="1:9" ht="17.100000000000001" customHeight="1">
      <c r="A19" s="180">
        <v>12</v>
      </c>
      <c r="B19" s="180" t="s">
        <v>1037</v>
      </c>
      <c r="C19" s="175"/>
      <c r="D19" s="180"/>
      <c r="E19" s="180"/>
      <c r="F19" s="180"/>
      <c r="G19" s="180"/>
      <c r="H19" s="805"/>
      <c r="I19" s="805"/>
    </row>
    <row r="20" spans="1:9" ht="17.100000000000001" customHeight="1">
      <c r="A20" s="180">
        <v>13</v>
      </c>
      <c r="B20" s="180" t="s">
        <v>1038</v>
      </c>
      <c r="C20" s="175"/>
      <c r="D20" s="180"/>
      <c r="E20" s="180"/>
      <c r="F20" s="180"/>
      <c r="G20" s="180"/>
      <c r="H20" s="805"/>
      <c r="I20" s="805"/>
    </row>
    <row r="21" spans="1:9" ht="17.100000000000001" customHeight="1">
      <c r="A21" s="180">
        <v>14</v>
      </c>
      <c r="B21" s="180" t="s">
        <v>1039</v>
      </c>
      <c r="C21" s="175"/>
      <c r="D21" s="180"/>
      <c r="E21" s="180"/>
      <c r="F21" s="180"/>
      <c r="G21" s="180"/>
      <c r="H21" s="805"/>
      <c r="I21" s="805"/>
    </row>
    <row r="22" spans="1:9" ht="17.100000000000001" customHeight="1">
      <c r="A22" s="180">
        <v>15</v>
      </c>
      <c r="B22" s="180" t="s">
        <v>1040</v>
      </c>
      <c r="C22" s="175"/>
      <c r="D22" s="180"/>
      <c r="E22" s="180"/>
      <c r="F22" s="180"/>
      <c r="G22" s="180"/>
      <c r="H22" s="805"/>
      <c r="I22" s="805"/>
    </row>
    <row r="23" spans="1:9" ht="17.100000000000001" customHeight="1">
      <c r="A23" s="180">
        <v>16</v>
      </c>
      <c r="B23" s="180" t="s">
        <v>1041</v>
      </c>
      <c r="C23" s="175"/>
      <c r="D23" s="180"/>
      <c r="E23" s="180"/>
      <c r="F23" s="180"/>
      <c r="G23" s="180"/>
      <c r="H23" s="805"/>
      <c r="I23" s="805"/>
    </row>
    <row r="24" spans="1:9" ht="17.100000000000001" customHeight="1">
      <c r="A24" s="180">
        <v>17</v>
      </c>
      <c r="B24" s="180" t="s">
        <v>1042</v>
      </c>
      <c r="C24" s="175"/>
      <c r="D24" s="180"/>
      <c r="E24" s="180"/>
      <c r="F24" s="180"/>
      <c r="G24" s="180"/>
      <c r="H24" s="805"/>
      <c r="I24" s="805"/>
    </row>
    <row r="25" spans="1:9" ht="17.100000000000001" customHeight="1">
      <c r="A25" s="180">
        <v>18</v>
      </c>
      <c r="B25" s="180" t="s">
        <v>1043</v>
      </c>
      <c r="C25" s="175" t="str">
        <f>C17</f>
        <v>0块</v>
      </c>
      <c r="D25" s="180"/>
      <c r="E25" s="180"/>
      <c r="F25" s="180"/>
      <c r="G25" s="180"/>
      <c r="H25" s="805"/>
      <c r="I25" s="805"/>
    </row>
    <row r="26" spans="1:9" ht="17.100000000000001" customHeight="1">
      <c r="A26" s="180">
        <v>19</v>
      </c>
      <c r="B26" s="180" t="s">
        <v>1044</v>
      </c>
      <c r="C26" s="175" t="str">
        <f t="shared" ref="C26:C35" si="0">C25</f>
        <v>0块</v>
      </c>
      <c r="D26" s="180"/>
      <c r="E26" s="180"/>
      <c r="F26" s="180"/>
      <c r="G26" s="180"/>
      <c r="H26" s="805"/>
      <c r="I26" s="805"/>
    </row>
    <row r="27" spans="1:9" ht="17.100000000000001" customHeight="1">
      <c r="A27" s="180">
        <v>20</v>
      </c>
      <c r="B27" s="180" t="s">
        <v>1045</v>
      </c>
      <c r="C27" s="175" t="str">
        <f t="shared" si="0"/>
        <v>0块</v>
      </c>
      <c r="D27" s="180"/>
      <c r="E27" s="180"/>
      <c r="F27" s="180"/>
      <c r="G27" s="180"/>
      <c r="H27" s="805"/>
      <c r="I27" s="805"/>
    </row>
    <row r="28" spans="1:9" ht="17.100000000000001" customHeight="1">
      <c r="A28" s="180">
        <v>21</v>
      </c>
      <c r="B28" s="180" t="s">
        <v>1046</v>
      </c>
      <c r="C28" s="175" t="str">
        <f t="shared" si="0"/>
        <v>0块</v>
      </c>
      <c r="D28" s="180"/>
      <c r="E28" s="180"/>
      <c r="F28" s="180"/>
      <c r="G28" s="180"/>
      <c r="H28" s="805"/>
      <c r="I28" s="805"/>
    </row>
    <row r="29" spans="1:9" ht="17.100000000000001" customHeight="1">
      <c r="A29" s="180">
        <v>22</v>
      </c>
      <c r="B29" s="180" t="s">
        <v>1047</v>
      </c>
      <c r="C29" s="175" t="str">
        <f t="shared" si="0"/>
        <v>0块</v>
      </c>
      <c r="D29" s="180"/>
      <c r="E29" s="180"/>
      <c r="F29" s="180"/>
      <c r="G29" s="180"/>
      <c r="H29" s="805"/>
      <c r="I29" s="805"/>
    </row>
    <row r="30" spans="1:9" ht="17.100000000000001" customHeight="1">
      <c r="A30" s="180">
        <v>23</v>
      </c>
      <c r="B30" s="180" t="s">
        <v>1048</v>
      </c>
      <c r="C30" s="175" t="str">
        <f t="shared" si="0"/>
        <v>0块</v>
      </c>
      <c r="D30" s="180"/>
      <c r="E30" s="180"/>
      <c r="F30" s="180"/>
      <c r="G30" s="180"/>
      <c r="H30" s="805"/>
      <c r="I30" s="805"/>
    </row>
    <row r="31" spans="1:9" ht="17.100000000000001" customHeight="1">
      <c r="A31" s="180">
        <v>24</v>
      </c>
      <c r="B31" s="180" t="s">
        <v>1049</v>
      </c>
      <c r="C31" s="175" t="str">
        <f t="shared" si="0"/>
        <v>0块</v>
      </c>
      <c r="D31" s="180"/>
      <c r="E31" s="180"/>
      <c r="F31" s="180"/>
      <c r="G31" s="180"/>
      <c r="H31" s="805"/>
      <c r="I31" s="805"/>
    </row>
    <row r="32" spans="1:9" ht="17.100000000000001" customHeight="1">
      <c r="A32" s="180">
        <v>25</v>
      </c>
      <c r="B32" s="180" t="s">
        <v>1050</v>
      </c>
      <c r="C32" s="175" t="str">
        <f t="shared" si="0"/>
        <v>0块</v>
      </c>
      <c r="D32" s="180"/>
      <c r="E32" s="180"/>
      <c r="F32" s="180"/>
      <c r="G32" s="180"/>
      <c r="H32" s="805"/>
      <c r="I32" s="805"/>
    </row>
    <row r="33" spans="1:9" ht="17.100000000000001" customHeight="1">
      <c r="A33" s="180">
        <v>26</v>
      </c>
      <c r="B33" s="180" t="s">
        <v>1051</v>
      </c>
      <c r="C33" s="180" t="str">
        <f t="shared" si="0"/>
        <v>0块</v>
      </c>
      <c r="D33" s="180"/>
      <c r="E33" s="180"/>
      <c r="F33" s="180"/>
      <c r="G33" s="180"/>
      <c r="H33" s="805"/>
      <c r="I33" s="805"/>
    </row>
    <row r="34" spans="1:9" ht="17.100000000000001" customHeight="1">
      <c r="A34" s="180">
        <v>27</v>
      </c>
      <c r="B34" s="180" t="s">
        <v>1052</v>
      </c>
      <c r="C34" s="180" t="str">
        <f t="shared" si="0"/>
        <v>0块</v>
      </c>
      <c r="D34" s="180"/>
      <c r="E34" s="180"/>
      <c r="F34" s="180"/>
      <c r="G34" s="180"/>
      <c r="H34" s="805"/>
      <c r="I34" s="805"/>
    </row>
    <row r="35" spans="1:9" ht="17.100000000000001" customHeight="1">
      <c r="A35" s="180">
        <v>28</v>
      </c>
      <c r="B35" s="180" t="s">
        <v>1053</v>
      </c>
      <c r="C35" s="180" t="str">
        <f t="shared" si="0"/>
        <v>0块</v>
      </c>
      <c r="D35" s="180"/>
      <c r="E35" s="180"/>
      <c r="F35" s="180"/>
      <c r="G35" s="180"/>
      <c r="H35" s="805"/>
      <c r="I35" s="805"/>
    </row>
    <row r="36" spans="1:9" ht="17.100000000000001" customHeight="1">
      <c r="A36" s="180">
        <v>29</v>
      </c>
      <c r="B36" s="180" t="s">
        <v>1054</v>
      </c>
      <c r="C36" s="180"/>
      <c r="D36" s="180"/>
      <c r="E36" s="180"/>
      <c r="F36" s="180"/>
      <c r="G36" s="180"/>
      <c r="H36" s="805"/>
      <c r="I36" s="805"/>
    </row>
    <row r="37" spans="1:9" ht="17.100000000000001" customHeight="1">
      <c r="A37" s="180">
        <v>30</v>
      </c>
      <c r="B37" s="180" t="s">
        <v>1055</v>
      </c>
      <c r="C37" s="180"/>
      <c r="D37" s="180"/>
      <c r="E37" s="180"/>
      <c r="F37" s="180"/>
      <c r="G37" s="180"/>
      <c r="H37" s="805"/>
      <c r="I37" s="805"/>
    </row>
    <row r="38" spans="1:9" ht="17.100000000000001" customHeight="1">
      <c r="A38" s="180">
        <v>31</v>
      </c>
      <c r="B38" s="180" t="s">
        <v>1056</v>
      </c>
      <c r="C38" s="180"/>
      <c r="D38" s="180"/>
      <c r="E38" s="180"/>
      <c r="F38" s="180"/>
      <c r="G38" s="180"/>
      <c r="H38" s="805"/>
      <c r="I38" s="805"/>
    </row>
    <row r="39" spans="1:9" ht="17.100000000000001" customHeight="1">
      <c r="A39" s="180">
        <v>32</v>
      </c>
      <c r="B39" s="180" t="s">
        <v>1057</v>
      </c>
      <c r="C39" s="180"/>
      <c r="D39" s="180"/>
      <c r="E39" s="180"/>
      <c r="F39" s="180"/>
      <c r="G39" s="180"/>
      <c r="H39" s="805"/>
      <c r="I39" s="805"/>
    </row>
    <row r="40" spans="1:9" ht="17.100000000000001" customHeight="1">
      <c r="A40" s="180">
        <v>33</v>
      </c>
      <c r="B40" s="180" t="s">
        <v>1058</v>
      </c>
      <c r="C40" s="180"/>
      <c r="D40" s="180"/>
      <c r="E40" s="180"/>
      <c r="F40" s="180"/>
      <c r="G40" s="180"/>
      <c r="H40" s="805"/>
      <c r="I40" s="805"/>
    </row>
    <row r="41" spans="1:9" ht="17.100000000000001" customHeight="1">
      <c r="A41" s="180">
        <v>34</v>
      </c>
      <c r="B41" s="180" t="s">
        <v>1059</v>
      </c>
      <c r="C41" s="180"/>
      <c r="D41" s="180"/>
      <c r="E41" s="180"/>
      <c r="F41" s="180"/>
      <c r="G41" s="180"/>
      <c r="H41" s="805"/>
      <c r="I41" s="805"/>
    </row>
    <row r="42" spans="1:9" ht="17.100000000000001" customHeight="1">
      <c r="A42" s="180">
        <v>35</v>
      </c>
      <c r="B42" s="180" t="s">
        <v>1060</v>
      </c>
      <c r="C42" s="180"/>
      <c r="D42" s="180"/>
      <c r="E42" s="180"/>
      <c r="F42" s="180"/>
      <c r="G42" s="180"/>
      <c r="H42" s="805"/>
      <c r="I42" s="805"/>
    </row>
    <row r="43" spans="1:9" ht="17.100000000000001" customHeight="1">
      <c r="A43" s="180">
        <v>36</v>
      </c>
      <c r="B43" s="180" t="s">
        <v>1061</v>
      </c>
      <c r="C43" s="180"/>
      <c r="D43" s="180"/>
      <c r="E43" s="180"/>
      <c r="F43" s="180"/>
      <c r="G43" s="180"/>
      <c r="H43" s="805"/>
      <c r="I43" s="805"/>
    </row>
    <row r="44" spans="1:9" ht="17.100000000000001" customHeight="1">
      <c r="A44" s="180">
        <v>37</v>
      </c>
      <c r="B44" s="180" t="s">
        <v>1062</v>
      </c>
      <c r="C44" s="180"/>
      <c r="D44" s="180"/>
      <c r="E44" s="180"/>
      <c r="F44" s="180"/>
      <c r="G44" s="180"/>
      <c r="H44" s="805"/>
      <c r="I44" s="805"/>
    </row>
    <row r="45" spans="1:9" ht="17.100000000000001" customHeight="1">
      <c r="A45" s="180">
        <v>38</v>
      </c>
      <c r="B45" s="180" t="s">
        <v>1063</v>
      </c>
      <c r="C45" s="180"/>
      <c r="D45" s="180"/>
      <c r="E45" s="180"/>
      <c r="F45" s="180"/>
      <c r="G45" s="180"/>
      <c r="H45" s="805"/>
      <c r="I45" s="805"/>
    </row>
    <row r="46" spans="1:9" ht="17.100000000000001" customHeight="1">
      <c r="A46" s="180">
        <v>39</v>
      </c>
      <c r="B46" s="180" t="s">
        <v>1064</v>
      </c>
      <c r="C46" s="180"/>
      <c r="D46" s="180"/>
      <c r="E46" s="180"/>
      <c r="F46" s="180"/>
      <c r="G46" s="180"/>
      <c r="H46" s="805"/>
      <c r="I46" s="805"/>
    </row>
    <row r="47" spans="1:9" ht="17.100000000000001" customHeight="1">
      <c r="A47" s="176"/>
      <c r="B47" s="174" t="s">
        <v>1065</v>
      </c>
      <c r="C47" s="427" t="s">
        <v>1121</v>
      </c>
      <c r="D47" s="178"/>
      <c r="E47" s="177" t="s">
        <v>1066</v>
      </c>
      <c r="F47" s="176"/>
      <c r="G47" s="176"/>
      <c r="H47" s="176"/>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4.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12" customWidth="1"/>
    <col min="2" max="2" width="6.25" style="312" customWidth="1"/>
    <col min="3" max="3" width="6.375" style="312" customWidth="1"/>
    <col min="4" max="4" width="5.375" style="312" customWidth="1"/>
    <col min="5" max="5" width="5.875" style="312" customWidth="1"/>
    <col min="6" max="6" width="5.75" style="312" customWidth="1"/>
    <col min="7" max="7" width="5.25" style="312" customWidth="1"/>
    <col min="8" max="9" width="7.125" style="312" customWidth="1"/>
    <col min="10" max="10" width="9" style="312"/>
    <col min="11" max="11" width="12.25" style="312" customWidth="1"/>
    <col min="12" max="17" width="9" style="312"/>
    <col min="18" max="18" width="19" style="312" customWidth="1"/>
    <col min="19" max="16384" width="9" style="312"/>
  </cols>
  <sheetData>
    <row r="1" spans="1:18" ht="12.95" customHeight="1">
      <c r="A1" s="311"/>
      <c r="B1" s="311"/>
      <c r="C1" s="311"/>
      <c r="D1" s="311"/>
      <c r="E1" s="311"/>
    </row>
    <row r="2" spans="1:18" ht="12.95" customHeight="1">
      <c r="A2" s="313"/>
      <c r="B2" s="313"/>
      <c r="C2" s="313"/>
      <c r="D2" s="313"/>
      <c r="E2" s="311"/>
      <c r="F2" s="932" t="s">
        <v>858</v>
      </c>
      <c r="G2" s="932"/>
      <c r="H2" s="932"/>
      <c r="I2" s="932"/>
      <c r="J2" s="932"/>
      <c r="K2" s="932"/>
    </row>
    <row r="3" spans="1:18" ht="20.25">
      <c r="A3" s="933" t="s">
        <v>859</v>
      </c>
      <c r="B3" s="933"/>
      <c r="C3" s="933"/>
      <c r="D3" s="933"/>
      <c r="E3" s="933"/>
      <c r="F3" s="933"/>
      <c r="G3" s="933"/>
      <c r="H3" s="933"/>
      <c r="I3" s="933"/>
      <c r="J3" s="933"/>
      <c r="K3" s="933"/>
      <c r="R3" s="312" t="s">
        <v>860</v>
      </c>
    </row>
    <row r="4" spans="1:18" ht="18" customHeight="1">
      <c r="A4" s="934" t="s">
        <v>496</v>
      </c>
      <c r="B4" s="934"/>
      <c r="C4" s="935" t="e">
        <f>#REF!</f>
        <v>#REF!</v>
      </c>
      <c r="D4" s="935"/>
      <c r="E4" s="935"/>
      <c r="F4" s="936" t="s">
        <v>861</v>
      </c>
      <c r="G4" s="936"/>
      <c r="H4" s="935"/>
      <c r="I4" s="935"/>
      <c r="J4" s="314" t="s">
        <v>497</v>
      </c>
      <c r="K4" s="315" t="str">
        <f>SUM(G10:G37)&amp;"块"</f>
        <v>0块</v>
      </c>
      <c r="R4" s="312" t="s">
        <v>862</v>
      </c>
    </row>
    <row r="5" spans="1:18" ht="19.5" customHeight="1">
      <c r="A5" s="941" t="s">
        <v>16</v>
      </c>
      <c r="B5" s="936"/>
      <c r="C5" s="942" t="e">
        <f>#REF!</f>
        <v>#REF!</v>
      </c>
      <c r="D5" s="942"/>
      <c r="E5" s="942"/>
      <c r="F5" s="936" t="s">
        <v>863</v>
      </c>
      <c r="G5" s="936"/>
      <c r="H5" s="943"/>
      <c r="I5" s="944"/>
      <c r="J5" s="314" t="s">
        <v>864</v>
      </c>
      <c r="K5" s="316" t="e">
        <f>#REF!</f>
        <v>#REF!</v>
      </c>
      <c r="L5" s="312" t="s">
        <v>865</v>
      </c>
      <c r="R5" s="312" t="s">
        <v>866</v>
      </c>
    </row>
    <row r="6" spans="1:18" ht="19.5" customHeight="1">
      <c r="A6" s="936" t="s">
        <v>867</v>
      </c>
      <c r="B6" s="936"/>
      <c r="C6" s="944" t="s">
        <v>868</v>
      </c>
      <c r="D6" s="945"/>
      <c r="E6" s="945"/>
      <c r="F6" s="946" t="s">
        <v>862</v>
      </c>
      <c r="G6" s="946"/>
      <c r="H6" s="946"/>
      <c r="I6" s="317" t="s">
        <v>869</v>
      </c>
      <c r="J6" s="318" t="s">
        <v>870</v>
      </c>
      <c r="K6" s="319" t="s">
        <v>871</v>
      </c>
      <c r="M6" s="312" t="s">
        <v>872</v>
      </c>
      <c r="R6" s="312" t="s">
        <v>873</v>
      </c>
    </row>
    <row r="7" spans="1:18" ht="24.75" customHeight="1" thickBot="1">
      <c r="A7" s="947" t="s">
        <v>874</v>
      </c>
      <c r="B7" s="947"/>
      <c r="C7" s="947"/>
      <c r="D7" s="947"/>
      <c r="E7" s="947"/>
      <c r="F7" s="947"/>
      <c r="G7" s="947"/>
      <c r="H7" s="947"/>
      <c r="I7" s="947"/>
      <c r="J7" s="947"/>
      <c r="K7" s="947"/>
      <c r="R7" s="312" t="s">
        <v>875</v>
      </c>
    </row>
    <row r="8" spans="1:18" ht="18" customHeight="1">
      <c r="A8" s="320" t="s">
        <v>876</v>
      </c>
      <c r="B8" s="948" t="s">
        <v>877</v>
      </c>
      <c r="C8" s="948"/>
      <c r="D8" s="948"/>
      <c r="E8" s="948" t="s">
        <v>878</v>
      </c>
      <c r="F8" s="948"/>
      <c r="G8" s="948"/>
      <c r="H8" s="949" t="s">
        <v>879</v>
      </c>
      <c r="I8" s="950"/>
      <c r="J8" s="950" t="s">
        <v>880</v>
      </c>
      <c r="K8" s="951"/>
      <c r="R8" s="312" t="s">
        <v>881</v>
      </c>
    </row>
    <row r="9" spans="1:18" ht="22.5" customHeight="1">
      <c r="A9" s="321" t="s">
        <v>882</v>
      </c>
      <c r="B9" s="322" t="s">
        <v>461</v>
      </c>
      <c r="C9" s="322" t="s">
        <v>883</v>
      </c>
      <c r="D9" s="322" t="s">
        <v>884</v>
      </c>
      <c r="E9" s="322" t="s">
        <v>885</v>
      </c>
      <c r="F9" s="323" t="s">
        <v>883</v>
      </c>
      <c r="G9" s="322" t="s">
        <v>884</v>
      </c>
      <c r="H9" s="937" t="s">
        <v>886</v>
      </c>
      <c r="I9" s="938"/>
      <c r="J9" s="939" t="s">
        <v>887</v>
      </c>
      <c r="K9" s="940"/>
      <c r="L9" s="324" t="s">
        <v>888</v>
      </c>
      <c r="M9" s="324" t="s">
        <v>889</v>
      </c>
      <c r="N9" s="325" t="s">
        <v>890</v>
      </c>
      <c r="O9" s="326" t="s">
        <v>891</v>
      </c>
      <c r="P9" s="326" t="s">
        <v>892</v>
      </c>
    </row>
    <row r="10" spans="1:18" ht="17.100000000000001" customHeight="1">
      <c r="A10" s="327"/>
      <c r="B10" s="328"/>
      <c r="C10" s="328"/>
      <c r="D10" s="328"/>
      <c r="E10" s="328">
        <f>C10+10</f>
        <v>10</v>
      </c>
      <c r="F10" s="329">
        <f>B10+10</f>
        <v>10</v>
      </c>
      <c r="G10" s="328">
        <f>D10</f>
        <v>0</v>
      </c>
      <c r="H10" s="952"/>
      <c r="I10" s="953"/>
      <c r="J10" s="954"/>
      <c r="K10" s="955"/>
      <c r="L10" s="312">
        <f>((B10+C10)*2+240)*G10/1000</f>
        <v>0</v>
      </c>
      <c r="M10" s="312">
        <f>B10*C10*D10/1000000</f>
        <v>0</v>
      </c>
      <c r="N10" s="312">
        <f>E10*F10*G10/1000000/2.88/0.85</f>
        <v>0</v>
      </c>
      <c r="O10" s="312">
        <f>(B10*C10*D10/1000000)*2</f>
        <v>0</v>
      </c>
      <c r="P10" s="312">
        <f>O10/0.6</f>
        <v>0</v>
      </c>
    </row>
    <row r="11" spans="1:18" ht="17.100000000000001" customHeight="1">
      <c r="A11" s="327"/>
      <c r="B11" s="328"/>
      <c r="C11" s="328"/>
      <c r="D11" s="328"/>
      <c r="E11" s="328">
        <f t="shared" ref="E11:E33" si="0">C11+10</f>
        <v>10</v>
      </c>
      <c r="F11" s="329">
        <f t="shared" ref="F11:F33" si="1">B11+10</f>
        <v>10</v>
      </c>
      <c r="G11" s="328">
        <f t="shared" ref="G11:G33" si="2">D11</f>
        <v>0</v>
      </c>
      <c r="H11" s="952"/>
      <c r="I11" s="953"/>
      <c r="J11" s="954"/>
      <c r="K11" s="955"/>
      <c r="L11" s="312">
        <f t="shared" ref="L11:L37" si="3">((B11+C11)*2+240)*G11/1000</f>
        <v>0</v>
      </c>
      <c r="M11" s="312">
        <f t="shared" ref="M11:M37" si="4">B11*C11*D11/1000000</f>
        <v>0</v>
      </c>
      <c r="N11" s="312">
        <f t="shared" ref="N11:N37" si="5">E11*F11*G11/1000000/2.88/0.85</f>
        <v>0</v>
      </c>
      <c r="O11" s="312">
        <f t="shared" ref="O11:O37" si="6">(B11*C11*D11/1000000)*2</f>
        <v>0</v>
      </c>
      <c r="P11" s="312">
        <f t="shared" ref="P11:P37" si="7">O11/0.6</f>
        <v>0</v>
      </c>
    </row>
    <row r="12" spans="1:18" ht="17.100000000000001" customHeight="1">
      <c r="A12" s="327"/>
      <c r="B12" s="328"/>
      <c r="C12" s="328"/>
      <c r="D12" s="328"/>
      <c r="E12" s="328">
        <f t="shared" si="0"/>
        <v>10</v>
      </c>
      <c r="F12" s="329">
        <f t="shared" si="1"/>
        <v>10</v>
      </c>
      <c r="G12" s="328">
        <f t="shared" si="2"/>
        <v>0</v>
      </c>
      <c r="H12" s="952"/>
      <c r="I12" s="953"/>
      <c r="J12" s="954"/>
      <c r="K12" s="955"/>
      <c r="L12" s="312">
        <f t="shared" si="3"/>
        <v>0</v>
      </c>
      <c r="M12" s="312">
        <f t="shared" si="4"/>
        <v>0</v>
      </c>
      <c r="N12" s="312">
        <f t="shared" si="5"/>
        <v>0</v>
      </c>
      <c r="O12" s="312">
        <f t="shared" si="6"/>
        <v>0</v>
      </c>
      <c r="P12" s="312">
        <f t="shared" si="7"/>
        <v>0</v>
      </c>
    </row>
    <row r="13" spans="1:18" ht="17.100000000000001" customHeight="1">
      <c r="A13" s="327"/>
      <c r="B13" s="328"/>
      <c r="C13" s="328"/>
      <c r="D13" s="328"/>
      <c r="E13" s="328">
        <f t="shared" si="0"/>
        <v>10</v>
      </c>
      <c r="F13" s="329">
        <f t="shared" si="1"/>
        <v>10</v>
      </c>
      <c r="G13" s="328">
        <f t="shared" si="2"/>
        <v>0</v>
      </c>
      <c r="H13" s="952"/>
      <c r="I13" s="953"/>
      <c r="J13" s="954"/>
      <c r="K13" s="955"/>
      <c r="L13" s="312">
        <f t="shared" si="3"/>
        <v>0</v>
      </c>
      <c r="M13" s="312">
        <f t="shared" si="4"/>
        <v>0</v>
      </c>
      <c r="N13" s="312">
        <f t="shared" si="5"/>
        <v>0</v>
      </c>
      <c r="O13" s="312">
        <f t="shared" si="6"/>
        <v>0</v>
      </c>
      <c r="P13" s="312">
        <f t="shared" si="7"/>
        <v>0</v>
      </c>
    </row>
    <row r="14" spans="1:18" ht="17.100000000000001" customHeight="1">
      <c r="A14" s="327"/>
      <c r="B14" s="328"/>
      <c r="C14" s="328"/>
      <c r="D14" s="328"/>
      <c r="E14" s="328">
        <f t="shared" si="0"/>
        <v>10</v>
      </c>
      <c r="F14" s="329">
        <f t="shared" si="1"/>
        <v>10</v>
      </c>
      <c r="G14" s="328">
        <f t="shared" si="2"/>
        <v>0</v>
      </c>
      <c r="H14" s="952"/>
      <c r="I14" s="953"/>
      <c r="J14" s="954"/>
      <c r="K14" s="955"/>
      <c r="L14" s="312">
        <f t="shared" si="3"/>
        <v>0</v>
      </c>
      <c r="M14" s="312">
        <f t="shared" si="4"/>
        <v>0</v>
      </c>
      <c r="N14" s="312">
        <f t="shared" si="5"/>
        <v>0</v>
      </c>
      <c r="O14" s="312">
        <f t="shared" si="6"/>
        <v>0</v>
      </c>
      <c r="P14" s="312">
        <f t="shared" si="7"/>
        <v>0</v>
      </c>
    </row>
    <row r="15" spans="1:18" ht="17.100000000000001" customHeight="1">
      <c r="A15" s="327"/>
      <c r="B15" s="328"/>
      <c r="C15" s="328"/>
      <c r="D15" s="328"/>
      <c r="E15" s="328">
        <f t="shared" si="0"/>
        <v>10</v>
      </c>
      <c r="F15" s="329">
        <f t="shared" si="1"/>
        <v>10</v>
      </c>
      <c r="G15" s="328">
        <f t="shared" si="2"/>
        <v>0</v>
      </c>
      <c r="H15" s="952"/>
      <c r="I15" s="953"/>
      <c r="J15" s="954"/>
      <c r="K15" s="955"/>
      <c r="L15" s="312">
        <f t="shared" si="3"/>
        <v>0</v>
      </c>
      <c r="M15" s="312">
        <f t="shared" si="4"/>
        <v>0</v>
      </c>
      <c r="N15" s="312">
        <f t="shared" si="5"/>
        <v>0</v>
      </c>
      <c r="O15" s="312">
        <f t="shared" si="6"/>
        <v>0</v>
      </c>
      <c r="P15" s="312">
        <f t="shared" si="7"/>
        <v>0</v>
      </c>
    </row>
    <row r="16" spans="1:18" ht="17.100000000000001" customHeight="1">
      <c r="A16" s="327"/>
      <c r="B16" s="328"/>
      <c r="C16" s="328"/>
      <c r="D16" s="328"/>
      <c r="E16" s="328">
        <f t="shared" si="0"/>
        <v>10</v>
      </c>
      <c r="F16" s="329">
        <f t="shared" si="1"/>
        <v>10</v>
      </c>
      <c r="G16" s="328">
        <f t="shared" si="2"/>
        <v>0</v>
      </c>
      <c r="H16" s="952"/>
      <c r="I16" s="953"/>
      <c r="J16" s="954"/>
      <c r="K16" s="955"/>
      <c r="L16" s="312">
        <f t="shared" si="3"/>
        <v>0</v>
      </c>
      <c r="M16" s="312">
        <f t="shared" si="4"/>
        <v>0</v>
      </c>
      <c r="N16" s="312">
        <f t="shared" si="5"/>
        <v>0</v>
      </c>
      <c r="O16" s="312">
        <f t="shared" si="6"/>
        <v>0</v>
      </c>
      <c r="P16" s="312">
        <f t="shared" si="7"/>
        <v>0</v>
      </c>
    </row>
    <row r="17" spans="1:16" ht="17.100000000000001" customHeight="1">
      <c r="A17" s="327"/>
      <c r="B17" s="328"/>
      <c r="C17" s="328"/>
      <c r="D17" s="328"/>
      <c r="E17" s="328">
        <f t="shared" si="0"/>
        <v>10</v>
      </c>
      <c r="F17" s="329">
        <f t="shared" si="1"/>
        <v>10</v>
      </c>
      <c r="G17" s="328">
        <f t="shared" si="2"/>
        <v>0</v>
      </c>
      <c r="H17" s="952"/>
      <c r="I17" s="953"/>
      <c r="J17" s="954"/>
      <c r="K17" s="955"/>
      <c r="L17" s="312">
        <f t="shared" si="3"/>
        <v>0</v>
      </c>
      <c r="M17" s="312">
        <f t="shared" si="4"/>
        <v>0</v>
      </c>
      <c r="N17" s="312">
        <f t="shared" si="5"/>
        <v>0</v>
      </c>
      <c r="O17" s="312">
        <f t="shared" si="6"/>
        <v>0</v>
      </c>
      <c r="P17" s="312">
        <f t="shared" si="7"/>
        <v>0</v>
      </c>
    </row>
    <row r="18" spans="1:16" ht="17.100000000000001" customHeight="1">
      <c r="A18" s="327"/>
      <c r="B18" s="328"/>
      <c r="C18" s="328"/>
      <c r="D18" s="328"/>
      <c r="E18" s="328">
        <f t="shared" si="0"/>
        <v>10</v>
      </c>
      <c r="F18" s="329">
        <f t="shared" si="1"/>
        <v>10</v>
      </c>
      <c r="G18" s="328">
        <f t="shared" si="2"/>
        <v>0</v>
      </c>
      <c r="H18" s="952"/>
      <c r="I18" s="953"/>
      <c r="J18" s="954"/>
      <c r="K18" s="955"/>
      <c r="L18" s="312">
        <f t="shared" si="3"/>
        <v>0</v>
      </c>
      <c r="M18" s="312">
        <f t="shared" si="4"/>
        <v>0</v>
      </c>
      <c r="N18" s="312">
        <f t="shared" si="5"/>
        <v>0</v>
      </c>
      <c r="O18" s="312">
        <f t="shared" si="6"/>
        <v>0</v>
      </c>
      <c r="P18" s="312">
        <f t="shared" si="7"/>
        <v>0</v>
      </c>
    </row>
    <row r="19" spans="1:16" ht="17.100000000000001" customHeight="1">
      <c r="A19" s="327"/>
      <c r="B19" s="328"/>
      <c r="C19" s="328"/>
      <c r="D19" s="328"/>
      <c r="E19" s="328">
        <f t="shared" si="0"/>
        <v>10</v>
      </c>
      <c r="F19" s="329">
        <f t="shared" si="1"/>
        <v>10</v>
      </c>
      <c r="G19" s="328">
        <f t="shared" si="2"/>
        <v>0</v>
      </c>
      <c r="H19" s="952"/>
      <c r="I19" s="953"/>
      <c r="J19" s="954"/>
      <c r="K19" s="955"/>
      <c r="L19" s="312">
        <f t="shared" si="3"/>
        <v>0</v>
      </c>
      <c r="M19" s="312">
        <f t="shared" si="4"/>
        <v>0</v>
      </c>
      <c r="N19" s="312">
        <f t="shared" si="5"/>
        <v>0</v>
      </c>
      <c r="O19" s="312">
        <f t="shared" si="6"/>
        <v>0</v>
      </c>
      <c r="P19" s="312">
        <f t="shared" si="7"/>
        <v>0</v>
      </c>
    </row>
    <row r="20" spans="1:16" ht="17.100000000000001" customHeight="1">
      <c r="A20" s="327"/>
      <c r="B20" s="328"/>
      <c r="C20" s="328"/>
      <c r="D20" s="328"/>
      <c r="E20" s="328">
        <f t="shared" si="0"/>
        <v>10</v>
      </c>
      <c r="F20" s="329">
        <f t="shared" si="1"/>
        <v>10</v>
      </c>
      <c r="G20" s="328">
        <f t="shared" si="2"/>
        <v>0</v>
      </c>
      <c r="H20" s="952"/>
      <c r="I20" s="953"/>
      <c r="J20" s="954"/>
      <c r="K20" s="955"/>
      <c r="L20" s="312">
        <f t="shared" si="3"/>
        <v>0</v>
      </c>
      <c r="M20" s="312">
        <f t="shared" si="4"/>
        <v>0</v>
      </c>
      <c r="N20" s="312">
        <f t="shared" si="5"/>
        <v>0</v>
      </c>
      <c r="O20" s="312">
        <f t="shared" si="6"/>
        <v>0</v>
      </c>
      <c r="P20" s="312">
        <f t="shared" si="7"/>
        <v>0</v>
      </c>
    </row>
    <row r="21" spans="1:16" ht="17.100000000000001" customHeight="1">
      <c r="A21" s="327"/>
      <c r="B21" s="328"/>
      <c r="C21" s="328"/>
      <c r="D21" s="328"/>
      <c r="E21" s="328">
        <f t="shared" si="0"/>
        <v>10</v>
      </c>
      <c r="F21" s="329">
        <f t="shared" si="1"/>
        <v>10</v>
      </c>
      <c r="G21" s="328">
        <f t="shared" si="2"/>
        <v>0</v>
      </c>
      <c r="H21" s="952"/>
      <c r="I21" s="953"/>
      <c r="J21" s="954"/>
      <c r="K21" s="955"/>
      <c r="L21" s="312">
        <f t="shared" si="3"/>
        <v>0</v>
      </c>
      <c r="M21" s="312">
        <f t="shared" si="4"/>
        <v>0</v>
      </c>
      <c r="N21" s="312">
        <f t="shared" si="5"/>
        <v>0</v>
      </c>
      <c r="O21" s="312">
        <f t="shared" si="6"/>
        <v>0</v>
      </c>
      <c r="P21" s="312">
        <f t="shared" si="7"/>
        <v>0</v>
      </c>
    </row>
    <row r="22" spans="1:16" ht="17.100000000000001" customHeight="1">
      <c r="A22" s="327"/>
      <c r="B22" s="328"/>
      <c r="C22" s="328"/>
      <c r="D22" s="328"/>
      <c r="E22" s="328">
        <f t="shared" si="0"/>
        <v>10</v>
      </c>
      <c r="F22" s="329">
        <f t="shared" si="1"/>
        <v>10</v>
      </c>
      <c r="G22" s="328">
        <f t="shared" si="2"/>
        <v>0</v>
      </c>
      <c r="H22" s="952"/>
      <c r="I22" s="953"/>
      <c r="J22" s="954"/>
      <c r="K22" s="955"/>
      <c r="L22" s="312">
        <f t="shared" si="3"/>
        <v>0</v>
      </c>
      <c r="M22" s="312">
        <f t="shared" si="4"/>
        <v>0</v>
      </c>
      <c r="N22" s="312">
        <f t="shared" si="5"/>
        <v>0</v>
      </c>
      <c r="O22" s="312">
        <f t="shared" si="6"/>
        <v>0</v>
      </c>
      <c r="P22" s="312">
        <f t="shared" si="7"/>
        <v>0</v>
      </c>
    </row>
    <row r="23" spans="1:16" ht="17.100000000000001" customHeight="1">
      <c r="A23" s="327"/>
      <c r="B23" s="328"/>
      <c r="C23" s="328"/>
      <c r="D23" s="328"/>
      <c r="E23" s="328">
        <f t="shared" si="0"/>
        <v>10</v>
      </c>
      <c r="F23" s="329">
        <f t="shared" si="1"/>
        <v>10</v>
      </c>
      <c r="G23" s="328">
        <f t="shared" si="2"/>
        <v>0</v>
      </c>
      <c r="H23" s="952"/>
      <c r="I23" s="953"/>
      <c r="J23" s="954"/>
      <c r="K23" s="955"/>
      <c r="L23" s="312">
        <f t="shared" si="3"/>
        <v>0</v>
      </c>
      <c r="M23" s="312">
        <f t="shared" si="4"/>
        <v>0</v>
      </c>
      <c r="N23" s="312">
        <f t="shared" si="5"/>
        <v>0</v>
      </c>
      <c r="O23" s="312">
        <f t="shared" si="6"/>
        <v>0</v>
      </c>
      <c r="P23" s="312">
        <f t="shared" si="7"/>
        <v>0</v>
      </c>
    </row>
    <row r="24" spans="1:16" ht="17.100000000000001" customHeight="1">
      <c r="A24" s="327"/>
      <c r="B24" s="328"/>
      <c r="C24" s="328"/>
      <c r="D24" s="328"/>
      <c r="E24" s="328">
        <f t="shared" si="0"/>
        <v>10</v>
      </c>
      <c r="F24" s="329">
        <f t="shared" si="1"/>
        <v>10</v>
      </c>
      <c r="G24" s="328">
        <f t="shared" si="2"/>
        <v>0</v>
      </c>
      <c r="H24" s="952"/>
      <c r="I24" s="953"/>
      <c r="J24" s="954"/>
      <c r="K24" s="955"/>
      <c r="L24" s="312">
        <f t="shared" si="3"/>
        <v>0</v>
      </c>
      <c r="M24" s="312">
        <f t="shared" si="4"/>
        <v>0</v>
      </c>
      <c r="N24" s="312">
        <f t="shared" si="5"/>
        <v>0</v>
      </c>
      <c r="O24" s="312">
        <f t="shared" si="6"/>
        <v>0</v>
      </c>
      <c r="P24" s="312">
        <f t="shared" si="7"/>
        <v>0</v>
      </c>
    </row>
    <row r="25" spans="1:16" ht="17.100000000000001" customHeight="1">
      <c r="A25" s="327"/>
      <c r="B25" s="328"/>
      <c r="C25" s="328"/>
      <c r="D25" s="328"/>
      <c r="E25" s="328">
        <f t="shared" si="0"/>
        <v>10</v>
      </c>
      <c r="F25" s="329">
        <f t="shared" si="1"/>
        <v>10</v>
      </c>
      <c r="G25" s="328">
        <f t="shared" si="2"/>
        <v>0</v>
      </c>
      <c r="H25" s="952"/>
      <c r="I25" s="953"/>
      <c r="J25" s="954"/>
      <c r="K25" s="955"/>
      <c r="L25" s="312">
        <f t="shared" si="3"/>
        <v>0</v>
      </c>
      <c r="M25" s="312">
        <f t="shared" si="4"/>
        <v>0</v>
      </c>
      <c r="N25" s="312">
        <f t="shared" si="5"/>
        <v>0</v>
      </c>
      <c r="O25" s="312">
        <f t="shared" si="6"/>
        <v>0</v>
      </c>
      <c r="P25" s="312">
        <f t="shared" si="7"/>
        <v>0</v>
      </c>
    </row>
    <row r="26" spans="1:16" ht="17.100000000000001" customHeight="1">
      <c r="A26" s="327"/>
      <c r="B26" s="328"/>
      <c r="C26" s="328"/>
      <c r="D26" s="328"/>
      <c r="E26" s="328">
        <f t="shared" si="0"/>
        <v>10</v>
      </c>
      <c r="F26" s="329">
        <f t="shared" si="1"/>
        <v>10</v>
      </c>
      <c r="G26" s="328">
        <f t="shared" si="2"/>
        <v>0</v>
      </c>
      <c r="H26" s="952"/>
      <c r="I26" s="953"/>
      <c r="J26" s="954"/>
      <c r="K26" s="955"/>
      <c r="L26" s="312">
        <f t="shared" si="3"/>
        <v>0</v>
      </c>
      <c r="M26" s="312">
        <f t="shared" si="4"/>
        <v>0</v>
      </c>
      <c r="N26" s="312">
        <f t="shared" si="5"/>
        <v>0</v>
      </c>
      <c r="O26" s="312">
        <f t="shared" si="6"/>
        <v>0</v>
      </c>
      <c r="P26" s="312">
        <f t="shared" si="7"/>
        <v>0</v>
      </c>
    </row>
    <row r="27" spans="1:16" ht="17.100000000000001" customHeight="1">
      <c r="A27" s="327"/>
      <c r="B27" s="328"/>
      <c r="C27" s="328"/>
      <c r="D27" s="328"/>
      <c r="E27" s="328">
        <f t="shared" si="0"/>
        <v>10</v>
      </c>
      <c r="F27" s="329">
        <f t="shared" si="1"/>
        <v>10</v>
      </c>
      <c r="G27" s="328">
        <f t="shared" si="2"/>
        <v>0</v>
      </c>
      <c r="H27" s="952"/>
      <c r="I27" s="953"/>
      <c r="J27" s="954"/>
      <c r="K27" s="955"/>
      <c r="L27" s="312">
        <f t="shared" si="3"/>
        <v>0</v>
      </c>
      <c r="M27" s="312">
        <f t="shared" si="4"/>
        <v>0</v>
      </c>
      <c r="N27" s="312">
        <f t="shared" si="5"/>
        <v>0</v>
      </c>
      <c r="O27" s="312">
        <f t="shared" si="6"/>
        <v>0</v>
      </c>
      <c r="P27" s="312">
        <f t="shared" si="7"/>
        <v>0</v>
      </c>
    </row>
    <row r="28" spans="1:16" ht="17.100000000000001" customHeight="1">
      <c r="A28" s="327"/>
      <c r="B28" s="328"/>
      <c r="C28" s="328"/>
      <c r="D28" s="328"/>
      <c r="E28" s="328">
        <f t="shared" si="0"/>
        <v>10</v>
      </c>
      <c r="F28" s="329">
        <f t="shared" si="1"/>
        <v>10</v>
      </c>
      <c r="G28" s="328">
        <f t="shared" si="2"/>
        <v>0</v>
      </c>
      <c r="H28" s="952"/>
      <c r="I28" s="953"/>
      <c r="J28" s="954"/>
      <c r="K28" s="955"/>
      <c r="L28" s="312">
        <f t="shared" si="3"/>
        <v>0</v>
      </c>
      <c r="M28" s="312">
        <f t="shared" si="4"/>
        <v>0</v>
      </c>
      <c r="N28" s="312">
        <f t="shared" si="5"/>
        <v>0</v>
      </c>
      <c r="O28" s="312">
        <f t="shared" si="6"/>
        <v>0</v>
      </c>
      <c r="P28" s="312">
        <f t="shared" si="7"/>
        <v>0</v>
      </c>
    </row>
    <row r="29" spans="1:16" ht="17.100000000000001" customHeight="1">
      <c r="A29" s="327"/>
      <c r="B29" s="328"/>
      <c r="C29" s="328"/>
      <c r="D29" s="328"/>
      <c r="E29" s="328">
        <f t="shared" si="0"/>
        <v>10</v>
      </c>
      <c r="F29" s="329">
        <f t="shared" si="1"/>
        <v>10</v>
      </c>
      <c r="G29" s="328">
        <f t="shared" si="2"/>
        <v>0</v>
      </c>
      <c r="H29" s="952"/>
      <c r="I29" s="953"/>
      <c r="J29" s="954"/>
      <c r="K29" s="955"/>
      <c r="L29" s="312">
        <f t="shared" si="3"/>
        <v>0</v>
      </c>
      <c r="M29" s="312">
        <f t="shared" si="4"/>
        <v>0</v>
      </c>
      <c r="N29" s="312">
        <f t="shared" si="5"/>
        <v>0</v>
      </c>
      <c r="O29" s="312">
        <f t="shared" si="6"/>
        <v>0</v>
      </c>
      <c r="P29" s="312">
        <f t="shared" si="7"/>
        <v>0</v>
      </c>
    </row>
    <row r="30" spans="1:16" ht="17.100000000000001" customHeight="1">
      <c r="A30" s="327"/>
      <c r="B30" s="328"/>
      <c r="C30" s="328"/>
      <c r="D30" s="328"/>
      <c r="E30" s="328">
        <f t="shared" si="0"/>
        <v>10</v>
      </c>
      <c r="F30" s="329">
        <f t="shared" si="1"/>
        <v>10</v>
      </c>
      <c r="G30" s="328">
        <f t="shared" si="2"/>
        <v>0</v>
      </c>
      <c r="H30" s="952"/>
      <c r="I30" s="953"/>
      <c r="J30" s="954"/>
      <c r="K30" s="955"/>
      <c r="L30" s="312">
        <f t="shared" si="3"/>
        <v>0</v>
      </c>
      <c r="M30" s="312">
        <f t="shared" si="4"/>
        <v>0</v>
      </c>
      <c r="N30" s="312">
        <f t="shared" si="5"/>
        <v>0</v>
      </c>
      <c r="O30" s="312">
        <f t="shared" si="6"/>
        <v>0</v>
      </c>
      <c r="P30" s="312">
        <f t="shared" si="7"/>
        <v>0</v>
      </c>
    </row>
    <row r="31" spans="1:16" ht="17.100000000000001" customHeight="1">
      <c r="A31" s="327"/>
      <c r="B31" s="328"/>
      <c r="C31" s="328"/>
      <c r="D31" s="328"/>
      <c r="E31" s="328">
        <f t="shared" si="0"/>
        <v>10</v>
      </c>
      <c r="F31" s="329">
        <f t="shared" si="1"/>
        <v>10</v>
      </c>
      <c r="G31" s="328">
        <f t="shared" si="2"/>
        <v>0</v>
      </c>
      <c r="H31" s="952"/>
      <c r="I31" s="953"/>
      <c r="J31" s="954"/>
      <c r="K31" s="955"/>
      <c r="L31" s="312">
        <f t="shared" si="3"/>
        <v>0</v>
      </c>
      <c r="M31" s="312">
        <f t="shared" si="4"/>
        <v>0</v>
      </c>
      <c r="N31" s="312">
        <f t="shared" si="5"/>
        <v>0</v>
      </c>
      <c r="O31" s="312">
        <f t="shared" si="6"/>
        <v>0</v>
      </c>
      <c r="P31" s="312">
        <f t="shared" si="7"/>
        <v>0</v>
      </c>
    </row>
    <row r="32" spans="1:16" ht="17.100000000000001" customHeight="1">
      <c r="A32" s="327"/>
      <c r="B32" s="328"/>
      <c r="C32" s="328"/>
      <c r="D32" s="328"/>
      <c r="E32" s="328">
        <f t="shared" si="0"/>
        <v>10</v>
      </c>
      <c r="F32" s="329">
        <f t="shared" si="1"/>
        <v>10</v>
      </c>
      <c r="G32" s="328">
        <f t="shared" si="2"/>
        <v>0</v>
      </c>
      <c r="H32" s="952"/>
      <c r="I32" s="953"/>
      <c r="J32" s="954"/>
      <c r="K32" s="955"/>
      <c r="L32" s="312">
        <f t="shared" si="3"/>
        <v>0</v>
      </c>
      <c r="M32" s="312">
        <f t="shared" si="4"/>
        <v>0</v>
      </c>
      <c r="N32" s="312">
        <f t="shared" si="5"/>
        <v>0</v>
      </c>
      <c r="O32" s="312">
        <f t="shared" si="6"/>
        <v>0</v>
      </c>
      <c r="P32" s="312">
        <f t="shared" si="7"/>
        <v>0</v>
      </c>
    </row>
    <row r="33" spans="1:17" ht="17.100000000000001" customHeight="1">
      <c r="A33" s="330" t="s">
        <v>893</v>
      </c>
      <c r="B33" s="328">
        <v>2400</v>
      </c>
      <c r="C33" s="328"/>
      <c r="D33" s="328"/>
      <c r="E33" s="328">
        <f t="shared" si="0"/>
        <v>10</v>
      </c>
      <c r="F33" s="329">
        <f t="shared" si="1"/>
        <v>2410</v>
      </c>
      <c r="G33" s="328">
        <f t="shared" si="2"/>
        <v>0</v>
      </c>
      <c r="H33" s="952"/>
      <c r="I33" s="953"/>
      <c r="J33" s="954"/>
      <c r="K33" s="955"/>
      <c r="L33" s="312">
        <f t="shared" si="3"/>
        <v>0</v>
      </c>
      <c r="M33" s="312">
        <f t="shared" si="4"/>
        <v>0</v>
      </c>
      <c r="N33" s="312">
        <f t="shared" si="5"/>
        <v>0</v>
      </c>
      <c r="O33" s="312">
        <f t="shared" si="6"/>
        <v>0</v>
      </c>
      <c r="P33" s="312">
        <f t="shared" si="7"/>
        <v>0</v>
      </c>
    </row>
    <row r="34" spans="1:17" ht="17.100000000000001" customHeight="1">
      <c r="A34" s="330"/>
      <c r="B34" s="328"/>
      <c r="C34" s="328"/>
      <c r="D34" s="328"/>
      <c r="E34" s="328"/>
      <c r="F34" s="329"/>
      <c r="G34" s="328"/>
      <c r="H34" s="939"/>
      <c r="I34" s="938"/>
      <c r="J34" s="939"/>
      <c r="K34" s="940"/>
      <c r="L34" s="312">
        <f t="shared" si="3"/>
        <v>0</v>
      </c>
      <c r="M34" s="312">
        <f t="shared" si="4"/>
        <v>0</v>
      </c>
      <c r="N34" s="312">
        <f t="shared" si="5"/>
        <v>0</v>
      </c>
      <c r="O34" s="312">
        <f t="shared" si="6"/>
        <v>0</v>
      </c>
      <c r="P34" s="312">
        <f t="shared" si="7"/>
        <v>0</v>
      </c>
    </row>
    <row r="35" spans="1:17" ht="17.100000000000001" customHeight="1">
      <c r="A35" s="330"/>
      <c r="B35" s="328"/>
      <c r="C35" s="328"/>
      <c r="D35" s="328"/>
      <c r="E35" s="328"/>
      <c r="F35" s="329"/>
      <c r="G35" s="328"/>
      <c r="H35" s="939"/>
      <c r="I35" s="938"/>
      <c r="J35" s="939"/>
      <c r="K35" s="940"/>
      <c r="L35" s="312">
        <f t="shared" si="3"/>
        <v>0</v>
      </c>
      <c r="M35" s="312">
        <f t="shared" si="4"/>
        <v>0</v>
      </c>
      <c r="N35" s="312">
        <f t="shared" si="5"/>
        <v>0</v>
      </c>
      <c r="O35" s="312">
        <f t="shared" si="6"/>
        <v>0</v>
      </c>
      <c r="P35" s="312">
        <f t="shared" si="7"/>
        <v>0</v>
      </c>
    </row>
    <row r="36" spans="1:17" ht="17.100000000000001" customHeight="1">
      <c r="A36" s="331"/>
      <c r="B36" s="332"/>
      <c r="C36" s="332"/>
      <c r="D36" s="333"/>
      <c r="E36" s="328"/>
      <c r="F36" s="329"/>
      <c r="G36" s="328"/>
      <c r="H36" s="939"/>
      <c r="I36" s="938"/>
      <c r="J36" s="939"/>
      <c r="K36" s="940"/>
      <c r="L36" s="312">
        <f t="shared" si="3"/>
        <v>0</v>
      </c>
      <c r="M36" s="312">
        <f t="shared" si="4"/>
        <v>0</v>
      </c>
      <c r="N36" s="312">
        <f t="shared" si="5"/>
        <v>0</v>
      </c>
      <c r="O36" s="312">
        <f t="shared" si="6"/>
        <v>0</v>
      </c>
      <c r="P36" s="312">
        <f t="shared" si="7"/>
        <v>0</v>
      </c>
    </row>
    <row r="37" spans="1:17" ht="17.100000000000001" customHeight="1" thickBot="1">
      <c r="A37" s="334"/>
      <c r="B37" s="335"/>
      <c r="C37" s="335"/>
      <c r="D37" s="336"/>
      <c r="E37" s="335"/>
      <c r="F37" s="337"/>
      <c r="G37" s="335"/>
      <c r="H37" s="957"/>
      <c r="I37" s="958"/>
      <c r="J37" s="957"/>
      <c r="K37" s="959"/>
      <c r="L37" s="312">
        <f t="shared" si="3"/>
        <v>0</v>
      </c>
      <c r="M37" s="312">
        <f t="shared" si="4"/>
        <v>0</v>
      </c>
      <c r="N37" s="312">
        <f t="shared" si="5"/>
        <v>0</v>
      </c>
      <c r="O37" s="312">
        <f t="shared" si="6"/>
        <v>0</v>
      </c>
      <c r="P37" s="312">
        <f t="shared" si="7"/>
        <v>0</v>
      </c>
    </row>
    <row r="38" spans="1:17" s="340" customFormat="1" ht="20.100000000000001" customHeight="1">
      <c r="A38" s="960"/>
      <c r="B38" s="960"/>
      <c r="C38" s="960"/>
      <c r="D38" s="960"/>
      <c r="E38" s="960"/>
      <c r="F38" s="960"/>
      <c r="G38" s="960"/>
      <c r="H38" s="960"/>
      <c r="I38" s="960"/>
      <c r="J38" s="960"/>
      <c r="K38" s="960"/>
      <c r="L38" s="338">
        <f>SUM(L10:L37)</f>
        <v>0</v>
      </c>
      <c r="M38" s="338">
        <f>SUM(M10:M37)</f>
        <v>0</v>
      </c>
      <c r="N38" s="338">
        <f>SUM(N10:N37)</f>
        <v>0</v>
      </c>
      <c r="O38" s="338">
        <f>SUM(O10:O37)</f>
        <v>0</v>
      </c>
      <c r="P38" s="338">
        <f>SUM(P10:P37)</f>
        <v>0</v>
      </c>
      <c r="Q38" s="339" t="s">
        <v>894</v>
      </c>
    </row>
    <row r="39" spans="1:17" s="345" customFormat="1" ht="20.100000000000001" customHeight="1">
      <c r="A39" s="341"/>
      <c r="B39" s="961" t="s">
        <v>895</v>
      </c>
      <c r="C39" s="961"/>
      <c r="D39" s="961"/>
      <c r="E39" s="961"/>
      <c r="F39" s="961"/>
      <c r="G39" s="961"/>
      <c r="H39" s="961"/>
      <c r="I39" s="961"/>
      <c r="J39" s="342" t="s">
        <v>896</v>
      </c>
      <c r="K39" s="343">
        <f>O38+L39</f>
        <v>0</v>
      </c>
      <c r="L39" s="344">
        <f>L38*0.018</f>
        <v>0</v>
      </c>
      <c r="M39" s="344"/>
      <c r="N39" s="344"/>
      <c r="O39" s="344"/>
      <c r="P39" s="344"/>
    </row>
    <row r="40" spans="1:17" ht="21" customHeight="1">
      <c r="A40" s="962" t="s">
        <v>897</v>
      </c>
      <c r="B40" s="962"/>
      <c r="C40" s="962"/>
      <c r="D40" s="962"/>
      <c r="E40" s="962"/>
      <c r="F40" s="962"/>
      <c r="G40" s="962"/>
      <c r="H40" s="962"/>
      <c r="I40" s="962"/>
      <c r="J40" s="962"/>
      <c r="K40" s="962"/>
      <c r="L40" s="326" t="s">
        <v>898</v>
      </c>
    </row>
    <row r="41" spans="1:17" ht="13.5" customHeight="1">
      <c r="A41" s="346"/>
      <c r="B41" s="347"/>
      <c r="C41" s="348"/>
      <c r="D41" s="348"/>
      <c r="E41" s="348"/>
      <c r="F41" s="349"/>
      <c r="G41" s="350"/>
      <c r="H41" s="349"/>
      <c r="I41" s="351"/>
      <c r="J41" s="351"/>
      <c r="K41" s="352"/>
    </row>
    <row r="42" spans="1:17" ht="18" customHeight="1">
      <c r="A42" s="353" t="s">
        <v>899</v>
      </c>
      <c r="B42" s="956" t="s">
        <v>1122</v>
      </c>
      <c r="C42" s="956"/>
      <c r="D42" s="314"/>
      <c r="E42" s="354"/>
      <c r="F42" s="934"/>
      <c r="G42" s="934"/>
      <c r="H42" s="314"/>
      <c r="I42" s="351"/>
      <c r="J42" s="351"/>
    </row>
    <row r="43" spans="1:17" ht="20.25">
      <c r="A43" s="352"/>
      <c r="B43" s="352"/>
      <c r="C43" s="352"/>
      <c r="D43" s="352"/>
      <c r="E43" s="352"/>
      <c r="F43" s="352"/>
      <c r="G43" s="352"/>
      <c r="H43" s="352"/>
      <c r="I43" s="352"/>
      <c r="J43" s="352"/>
      <c r="K43" s="352"/>
    </row>
    <row r="44" spans="1:17" ht="20.25">
      <c r="A44" s="352"/>
      <c r="B44" s="352"/>
      <c r="C44" s="352"/>
      <c r="D44" s="352"/>
      <c r="E44" s="352"/>
      <c r="F44" s="352"/>
      <c r="G44" s="352"/>
      <c r="H44" s="352"/>
      <c r="I44" s="352"/>
      <c r="J44" s="352"/>
      <c r="K44" s="352"/>
    </row>
    <row r="45" spans="1:17" ht="20.25">
      <c r="A45" s="352"/>
      <c r="B45" s="352"/>
      <c r="C45" s="352"/>
      <c r="D45" s="352"/>
      <c r="E45" s="352"/>
      <c r="F45" s="352"/>
      <c r="G45" s="352"/>
      <c r="H45" s="352"/>
      <c r="I45" s="352"/>
      <c r="J45" s="352"/>
      <c r="K45" s="352"/>
    </row>
    <row r="46" spans="1:17" ht="20.25">
      <c r="A46" s="352"/>
      <c r="B46" s="352"/>
      <c r="C46" s="352"/>
      <c r="D46" s="352"/>
      <c r="E46" s="352"/>
      <c r="F46" s="352"/>
      <c r="G46" s="352"/>
      <c r="H46" s="352"/>
      <c r="I46" s="352"/>
      <c r="J46" s="352"/>
      <c r="K46" s="352"/>
    </row>
    <row r="47" spans="1:17" ht="20.25">
      <c r="A47" s="352"/>
      <c r="B47" s="352"/>
      <c r="C47" s="352"/>
      <c r="D47" s="352"/>
      <c r="E47" s="352"/>
      <c r="F47" s="352"/>
      <c r="G47" s="352"/>
      <c r="H47" s="352"/>
      <c r="I47" s="352"/>
      <c r="J47" s="352"/>
      <c r="K47" s="352"/>
    </row>
    <row r="48" spans="1:17" ht="20.25">
      <c r="A48" s="352"/>
      <c r="B48" s="352"/>
      <c r="C48" s="352"/>
      <c r="D48" s="352"/>
      <c r="E48" s="352"/>
      <c r="F48" s="352"/>
      <c r="G48" s="352"/>
      <c r="H48" s="352"/>
      <c r="I48" s="352"/>
      <c r="J48" s="352"/>
      <c r="K48" s="352"/>
    </row>
    <row r="49" spans="1:11" ht="20.25">
      <c r="A49" s="352"/>
      <c r="B49" s="352"/>
      <c r="C49" s="352"/>
      <c r="D49" s="352"/>
      <c r="E49" s="352"/>
      <c r="F49" s="352"/>
      <c r="G49" s="352"/>
      <c r="H49" s="352"/>
      <c r="I49" s="352"/>
      <c r="J49" s="352"/>
      <c r="K49" s="352"/>
    </row>
    <row r="50" spans="1:11" ht="20.25">
      <c r="A50" s="352"/>
      <c r="B50" s="352"/>
      <c r="C50" s="352"/>
      <c r="D50" s="352"/>
      <c r="E50" s="352"/>
      <c r="F50" s="352"/>
      <c r="G50" s="352"/>
      <c r="H50" s="352"/>
      <c r="I50" s="352"/>
      <c r="J50" s="352"/>
      <c r="K50" s="352"/>
    </row>
    <row r="51" spans="1:11" ht="20.25">
      <c r="A51" s="352"/>
      <c r="B51" s="352"/>
      <c r="C51" s="352"/>
      <c r="D51" s="352"/>
      <c r="E51" s="352"/>
      <c r="F51" s="352"/>
      <c r="G51" s="352"/>
      <c r="H51" s="352"/>
      <c r="I51" s="352"/>
      <c r="J51" s="352"/>
      <c r="K51" s="352"/>
    </row>
    <row r="52" spans="1:11" ht="20.25">
      <c r="A52" s="352"/>
      <c r="B52" s="352"/>
      <c r="C52" s="352"/>
      <c r="D52" s="352"/>
      <c r="E52" s="352"/>
      <c r="F52" s="352"/>
      <c r="G52" s="352"/>
      <c r="H52" s="352"/>
      <c r="I52" s="352"/>
      <c r="J52" s="352"/>
      <c r="K52" s="352"/>
    </row>
    <row r="53" spans="1:11" ht="20.25">
      <c r="A53" s="352"/>
      <c r="B53" s="352"/>
      <c r="C53" s="352"/>
      <c r="D53" s="352"/>
      <c r="E53" s="352"/>
      <c r="F53" s="352"/>
      <c r="G53" s="352"/>
      <c r="H53" s="352"/>
      <c r="I53" s="352"/>
      <c r="J53" s="352"/>
      <c r="K53" s="352"/>
    </row>
    <row r="54" spans="1:11" ht="20.25">
      <c r="A54" s="352"/>
      <c r="B54" s="352"/>
      <c r="C54" s="352"/>
      <c r="D54" s="352"/>
      <c r="E54" s="352"/>
      <c r="F54" s="352"/>
      <c r="G54" s="352"/>
      <c r="H54" s="352"/>
      <c r="I54" s="352"/>
      <c r="J54" s="352"/>
      <c r="K54" s="352"/>
    </row>
    <row r="55" spans="1:11" ht="20.25">
      <c r="A55" s="352"/>
      <c r="B55" s="352"/>
      <c r="C55" s="352"/>
      <c r="D55" s="352"/>
      <c r="E55" s="352"/>
      <c r="F55" s="352"/>
      <c r="G55" s="352"/>
      <c r="H55" s="352"/>
      <c r="I55" s="352"/>
      <c r="J55" s="352"/>
      <c r="K55" s="352"/>
    </row>
    <row r="56" spans="1:11" ht="20.25">
      <c r="A56" s="352"/>
      <c r="B56" s="352"/>
      <c r="C56" s="352"/>
      <c r="D56" s="352"/>
      <c r="E56" s="352"/>
      <c r="F56" s="352"/>
      <c r="G56" s="352"/>
      <c r="H56" s="352"/>
      <c r="I56" s="352"/>
      <c r="J56" s="352"/>
      <c r="K56" s="352"/>
    </row>
    <row r="57" spans="1:11" ht="20.25">
      <c r="A57" s="352"/>
      <c r="B57" s="352"/>
      <c r="C57" s="352"/>
      <c r="D57" s="352"/>
      <c r="E57" s="352"/>
      <c r="F57" s="352"/>
      <c r="G57" s="352"/>
      <c r="H57" s="352"/>
      <c r="I57" s="352"/>
      <c r="J57" s="352"/>
      <c r="K57" s="352"/>
    </row>
    <row r="58" spans="1:11" ht="20.25">
      <c r="A58" s="352"/>
      <c r="B58" s="352"/>
      <c r="C58" s="352"/>
      <c r="D58" s="352"/>
      <c r="E58" s="352"/>
      <c r="F58" s="352"/>
      <c r="G58" s="352"/>
      <c r="H58" s="352"/>
      <c r="I58" s="352"/>
      <c r="J58" s="352"/>
      <c r="K58" s="352"/>
    </row>
    <row r="59" spans="1:11" ht="20.25">
      <c r="A59" s="352"/>
      <c r="B59" s="352"/>
      <c r="C59" s="352"/>
      <c r="D59" s="352"/>
      <c r="E59" s="352"/>
      <c r="F59" s="352"/>
      <c r="G59" s="352"/>
      <c r="H59" s="352"/>
      <c r="I59" s="352"/>
      <c r="J59" s="352"/>
      <c r="K59" s="352"/>
    </row>
    <row r="60" spans="1:11" ht="20.25">
      <c r="A60" s="352"/>
      <c r="B60" s="352"/>
      <c r="C60" s="352"/>
      <c r="D60" s="352"/>
      <c r="E60" s="352"/>
      <c r="F60" s="352"/>
      <c r="G60" s="352"/>
      <c r="H60" s="352"/>
      <c r="I60" s="352"/>
      <c r="J60" s="352"/>
      <c r="K60" s="352"/>
    </row>
    <row r="61" spans="1:11" ht="20.25">
      <c r="A61" s="352"/>
      <c r="B61" s="352"/>
      <c r="C61" s="352"/>
      <c r="D61" s="352"/>
      <c r="E61" s="352"/>
      <c r="F61" s="352"/>
      <c r="G61" s="352"/>
      <c r="H61" s="352"/>
      <c r="I61" s="352"/>
      <c r="J61" s="352"/>
      <c r="K61" s="352"/>
    </row>
    <row r="62" spans="1:11" ht="20.25">
      <c r="A62" s="352"/>
      <c r="B62" s="352"/>
      <c r="C62" s="352"/>
      <c r="D62" s="352"/>
      <c r="E62" s="352"/>
      <c r="F62" s="352"/>
      <c r="G62" s="352"/>
      <c r="H62" s="352"/>
      <c r="I62" s="352"/>
      <c r="J62" s="352"/>
      <c r="K62" s="352"/>
    </row>
    <row r="63" spans="1:11" ht="20.25">
      <c r="A63" s="352"/>
      <c r="B63" s="352"/>
      <c r="C63" s="352"/>
      <c r="D63" s="352"/>
      <c r="E63" s="352"/>
      <c r="F63" s="352"/>
      <c r="G63" s="352"/>
      <c r="H63" s="352"/>
      <c r="I63" s="352"/>
      <c r="J63" s="352"/>
      <c r="K63" s="352"/>
    </row>
    <row r="64" spans="1:11" ht="20.25">
      <c r="A64" s="352"/>
      <c r="B64" s="352"/>
      <c r="C64" s="352"/>
      <c r="D64" s="352"/>
      <c r="E64" s="352"/>
      <c r="F64" s="352"/>
      <c r="G64" s="352"/>
      <c r="H64" s="352"/>
      <c r="I64" s="352"/>
      <c r="J64" s="352"/>
      <c r="K64" s="352"/>
    </row>
    <row r="65" spans="1:11" ht="20.25">
      <c r="A65" s="352"/>
      <c r="B65" s="352"/>
      <c r="C65" s="352"/>
      <c r="D65" s="352"/>
      <c r="E65" s="352"/>
      <c r="F65" s="352"/>
      <c r="G65" s="352"/>
      <c r="H65" s="352"/>
      <c r="I65" s="352"/>
      <c r="J65" s="352"/>
      <c r="K65" s="352"/>
    </row>
    <row r="66" spans="1:11" ht="20.25">
      <c r="A66" s="352"/>
      <c r="B66" s="352"/>
      <c r="C66" s="352"/>
      <c r="D66" s="352"/>
      <c r="E66" s="352"/>
      <c r="F66" s="352"/>
      <c r="G66" s="352"/>
      <c r="H66" s="352"/>
      <c r="I66" s="352"/>
      <c r="J66" s="352"/>
      <c r="K66" s="352"/>
    </row>
    <row r="67" spans="1:11" ht="20.25">
      <c r="A67" s="352"/>
      <c r="B67" s="352"/>
      <c r="C67" s="352"/>
      <c r="D67" s="352"/>
      <c r="E67" s="352"/>
      <c r="F67" s="352"/>
      <c r="G67" s="352"/>
      <c r="H67" s="352"/>
      <c r="I67" s="352"/>
      <c r="J67" s="352"/>
      <c r="K67" s="352"/>
    </row>
    <row r="68" spans="1:11" ht="20.25">
      <c r="A68" s="352"/>
      <c r="B68" s="352"/>
      <c r="C68" s="352"/>
      <c r="D68" s="352"/>
      <c r="E68" s="352"/>
      <c r="F68" s="352"/>
      <c r="G68" s="352"/>
      <c r="H68" s="352"/>
      <c r="I68" s="352"/>
      <c r="J68" s="352"/>
      <c r="K68" s="352"/>
    </row>
    <row r="69" spans="1:11" ht="20.25">
      <c r="A69" s="352"/>
      <c r="B69" s="352"/>
      <c r="C69" s="352"/>
      <c r="D69" s="352"/>
      <c r="E69" s="352"/>
      <c r="F69" s="352"/>
      <c r="G69" s="352"/>
      <c r="H69" s="352"/>
      <c r="I69" s="352"/>
      <c r="J69" s="352"/>
      <c r="K69" s="352"/>
    </row>
    <row r="70" spans="1:11" ht="20.25">
      <c r="A70" s="352"/>
      <c r="B70" s="352"/>
      <c r="C70" s="352"/>
      <c r="D70" s="352"/>
      <c r="E70" s="352"/>
      <c r="F70" s="352"/>
      <c r="G70" s="352"/>
      <c r="H70" s="352"/>
      <c r="I70" s="352"/>
      <c r="J70" s="352"/>
      <c r="K70" s="352"/>
    </row>
    <row r="71" spans="1:11" ht="20.25">
      <c r="A71" s="352"/>
      <c r="B71" s="352"/>
      <c r="C71" s="352"/>
      <c r="D71" s="352"/>
      <c r="E71" s="352"/>
      <c r="F71" s="352"/>
      <c r="G71" s="352"/>
      <c r="H71" s="352"/>
      <c r="I71" s="352"/>
      <c r="J71" s="352"/>
      <c r="K71" s="352"/>
    </row>
    <row r="72" spans="1:11" ht="20.25">
      <c r="A72" s="352"/>
      <c r="B72" s="352"/>
      <c r="C72" s="352"/>
      <c r="D72" s="352"/>
      <c r="E72" s="352"/>
      <c r="F72" s="352"/>
      <c r="G72" s="352"/>
      <c r="H72" s="352"/>
      <c r="I72" s="352"/>
      <c r="J72" s="352"/>
      <c r="K72" s="352"/>
    </row>
    <row r="73" spans="1:11" ht="20.25">
      <c r="A73" s="352"/>
      <c r="B73" s="352"/>
      <c r="C73" s="352"/>
      <c r="D73" s="352"/>
      <c r="E73" s="352"/>
      <c r="F73" s="352"/>
      <c r="G73" s="352"/>
      <c r="H73" s="352"/>
      <c r="I73" s="352"/>
      <c r="J73" s="352"/>
      <c r="K73" s="352"/>
    </row>
    <row r="74" spans="1:11" ht="20.25">
      <c r="A74" s="352"/>
      <c r="B74" s="352"/>
      <c r="C74" s="352"/>
      <c r="D74" s="352"/>
      <c r="E74" s="352"/>
      <c r="F74" s="352"/>
      <c r="G74" s="352"/>
      <c r="H74" s="352"/>
      <c r="I74" s="352"/>
      <c r="J74" s="352"/>
      <c r="K74" s="352"/>
    </row>
    <row r="75" spans="1:11" ht="20.25">
      <c r="A75" s="352"/>
      <c r="B75" s="352"/>
      <c r="C75" s="352"/>
      <c r="D75" s="352"/>
      <c r="E75" s="352"/>
      <c r="F75" s="352"/>
      <c r="G75" s="352"/>
      <c r="H75" s="352"/>
      <c r="I75" s="352"/>
      <c r="J75" s="352"/>
      <c r="K75" s="352"/>
    </row>
    <row r="76" spans="1:11" ht="20.25">
      <c r="A76" s="352"/>
      <c r="B76" s="352"/>
      <c r="C76" s="352"/>
      <c r="D76" s="352"/>
      <c r="E76" s="352"/>
      <c r="F76" s="352"/>
      <c r="G76" s="352"/>
      <c r="H76" s="352"/>
      <c r="I76" s="352"/>
      <c r="J76" s="352"/>
      <c r="K76" s="352"/>
    </row>
    <row r="77" spans="1:11" ht="20.25">
      <c r="A77" s="352"/>
      <c r="B77" s="352"/>
      <c r="C77" s="352"/>
      <c r="D77" s="352"/>
      <c r="E77" s="352"/>
      <c r="F77" s="352"/>
      <c r="G77" s="352"/>
      <c r="H77" s="352"/>
      <c r="I77" s="352"/>
      <c r="J77" s="352"/>
      <c r="K77" s="352"/>
    </row>
    <row r="78" spans="1:11" ht="20.25">
      <c r="A78" s="352"/>
      <c r="B78" s="352"/>
      <c r="C78" s="352"/>
      <c r="D78" s="352"/>
      <c r="E78" s="352"/>
      <c r="F78" s="352"/>
      <c r="G78" s="352"/>
      <c r="H78" s="352"/>
      <c r="I78" s="352"/>
      <c r="J78" s="352"/>
      <c r="K78" s="352"/>
    </row>
    <row r="79" spans="1:11" ht="20.25">
      <c r="A79" s="352"/>
      <c r="B79" s="352"/>
      <c r="C79" s="352"/>
      <c r="D79" s="352"/>
      <c r="E79" s="352"/>
      <c r="F79" s="352"/>
      <c r="G79" s="352"/>
      <c r="H79" s="352"/>
      <c r="I79" s="352"/>
      <c r="J79" s="352"/>
      <c r="K79" s="352"/>
    </row>
    <row r="80" spans="1:11" ht="20.25">
      <c r="A80" s="352"/>
      <c r="B80" s="352"/>
      <c r="C80" s="352"/>
      <c r="D80" s="352"/>
      <c r="E80" s="352"/>
      <c r="F80" s="352"/>
      <c r="G80" s="352"/>
      <c r="H80" s="352"/>
      <c r="I80" s="352"/>
      <c r="J80" s="352"/>
      <c r="K80" s="352"/>
    </row>
    <row r="81" spans="1:11" ht="20.25">
      <c r="A81" s="352"/>
      <c r="B81" s="352"/>
      <c r="C81" s="352"/>
      <c r="D81" s="352"/>
      <c r="E81" s="352"/>
      <c r="F81" s="352"/>
      <c r="G81" s="352"/>
      <c r="H81" s="352"/>
      <c r="I81" s="352"/>
      <c r="J81" s="352"/>
      <c r="K81" s="352"/>
    </row>
    <row r="82" spans="1:11" ht="20.25">
      <c r="A82" s="352"/>
      <c r="B82" s="352"/>
      <c r="C82" s="352"/>
      <c r="D82" s="352"/>
      <c r="E82" s="352"/>
      <c r="F82" s="352"/>
      <c r="G82" s="352"/>
      <c r="H82" s="352"/>
      <c r="I82" s="352"/>
      <c r="J82" s="352"/>
      <c r="K82" s="352"/>
    </row>
    <row r="83" spans="1:11" ht="20.25">
      <c r="A83" s="352"/>
      <c r="B83" s="352"/>
      <c r="C83" s="352"/>
      <c r="D83" s="352"/>
      <c r="E83" s="352"/>
      <c r="F83" s="352"/>
      <c r="G83" s="352"/>
      <c r="H83" s="352"/>
      <c r="I83" s="352"/>
      <c r="J83" s="352"/>
      <c r="K83" s="352"/>
    </row>
    <row r="84" spans="1:11" ht="20.25">
      <c r="A84" s="352"/>
      <c r="B84" s="352"/>
      <c r="C84" s="352"/>
      <c r="D84" s="352"/>
      <c r="E84" s="352"/>
      <c r="F84" s="352"/>
      <c r="G84" s="352"/>
      <c r="H84" s="352"/>
      <c r="I84" s="352"/>
      <c r="J84" s="352"/>
      <c r="K84" s="352"/>
    </row>
    <row r="85" spans="1:11" ht="20.25">
      <c r="A85" s="352"/>
      <c r="B85" s="352"/>
      <c r="C85" s="352"/>
      <c r="D85" s="352"/>
      <c r="E85" s="352"/>
      <c r="F85" s="352"/>
      <c r="G85" s="352"/>
      <c r="H85" s="352"/>
      <c r="I85" s="352"/>
      <c r="J85" s="352"/>
      <c r="K85" s="352"/>
    </row>
    <row r="86" spans="1:11" ht="20.25">
      <c r="A86" s="352"/>
      <c r="B86" s="352"/>
      <c r="C86" s="352"/>
      <c r="D86" s="352"/>
      <c r="E86" s="352"/>
      <c r="F86" s="352"/>
      <c r="G86" s="352"/>
      <c r="H86" s="352"/>
      <c r="I86" s="352"/>
      <c r="J86" s="352"/>
      <c r="K86" s="352"/>
    </row>
    <row r="87" spans="1:11" ht="20.25">
      <c r="A87" s="352"/>
      <c r="B87" s="352"/>
      <c r="C87" s="352"/>
      <c r="D87" s="352"/>
      <c r="E87" s="352"/>
      <c r="F87" s="352"/>
      <c r="G87" s="352"/>
      <c r="H87" s="352"/>
      <c r="I87" s="352"/>
      <c r="J87" s="352"/>
      <c r="K87" s="352"/>
    </row>
    <row r="88" spans="1:11" ht="20.25">
      <c r="A88" s="352"/>
      <c r="B88" s="352"/>
      <c r="C88" s="352"/>
      <c r="D88" s="352"/>
      <c r="E88" s="352"/>
      <c r="F88" s="352"/>
      <c r="G88" s="352"/>
      <c r="H88" s="352"/>
      <c r="I88" s="352"/>
      <c r="J88" s="352"/>
      <c r="K88" s="352"/>
    </row>
    <row r="89" spans="1:11" ht="20.25">
      <c r="A89" s="352"/>
      <c r="B89" s="352"/>
      <c r="C89" s="352"/>
      <c r="D89" s="352"/>
      <c r="E89" s="352"/>
      <c r="F89" s="352"/>
      <c r="G89" s="352"/>
      <c r="H89" s="352"/>
      <c r="I89" s="352"/>
      <c r="J89" s="352"/>
      <c r="K89" s="352"/>
    </row>
    <row r="90" spans="1:11" ht="20.25">
      <c r="A90" s="352"/>
      <c r="B90" s="352"/>
      <c r="C90" s="352"/>
      <c r="D90" s="352"/>
      <c r="E90" s="352"/>
      <c r="F90" s="352"/>
      <c r="G90" s="352"/>
      <c r="H90" s="352"/>
      <c r="I90" s="352"/>
      <c r="J90" s="352"/>
      <c r="K90" s="352"/>
    </row>
    <row r="91" spans="1:11" ht="20.25">
      <c r="A91" s="352"/>
      <c r="B91" s="352"/>
      <c r="C91" s="352"/>
      <c r="D91" s="352"/>
      <c r="E91" s="352"/>
      <c r="F91" s="352"/>
      <c r="G91" s="352"/>
      <c r="H91" s="352"/>
      <c r="I91" s="352"/>
      <c r="J91" s="352"/>
      <c r="K91" s="352"/>
    </row>
    <row r="92" spans="1:11" ht="20.25">
      <c r="A92" s="352"/>
      <c r="B92" s="352"/>
      <c r="C92" s="352"/>
      <c r="D92" s="352"/>
      <c r="E92" s="352"/>
      <c r="F92" s="352"/>
      <c r="G92" s="352"/>
      <c r="H92" s="352"/>
      <c r="I92" s="352"/>
      <c r="J92" s="352"/>
      <c r="K92" s="352"/>
    </row>
    <row r="93" spans="1:11" ht="20.25">
      <c r="A93" s="352"/>
      <c r="B93" s="352"/>
      <c r="C93" s="352"/>
      <c r="D93" s="352"/>
      <c r="E93" s="352"/>
      <c r="F93" s="352"/>
      <c r="G93" s="352"/>
      <c r="H93" s="352"/>
      <c r="I93" s="352"/>
      <c r="J93" s="352"/>
      <c r="K93" s="352"/>
    </row>
    <row r="94" spans="1:11" ht="20.25">
      <c r="A94" s="352"/>
      <c r="B94" s="352"/>
      <c r="C94" s="352"/>
      <c r="D94" s="352"/>
      <c r="E94" s="352"/>
      <c r="F94" s="352"/>
      <c r="G94" s="352"/>
      <c r="H94" s="352"/>
      <c r="I94" s="352"/>
      <c r="J94" s="352"/>
      <c r="K94" s="352"/>
    </row>
    <row r="95" spans="1:11" ht="20.25">
      <c r="A95" s="352"/>
      <c r="B95" s="352"/>
      <c r="C95" s="352"/>
      <c r="D95" s="352"/>
      <c r="E95" s="352"/>
      <c r="F95" s="352"/>
      <c r="G95" s="352"/>
      <c r="H95" s="352"/>
      <c r="I95" s="352"/>
      <c r="J95" s="352"/>
      <c r="K95" s="352"/>
    </row>
    <row r="96" spans="1:11" ht="20.25">
      <c r="A96" s="352"/>
      <c r="B96" s="352"/>
      <c r="C96" s="352"/>
      <c r="D96" s="352"/>
      <c r="E96" s="352"/>
      <c r="F96" s="352"/>
      <c r="G96" s="352"/>
      <c r="H96" s="352"/>
      <c r="I96" s="352"/>
      <c r="J96" s="352"/>
      <c r="K96" s="352"/>
    </row>
    <row r="97" spans="1:11" ht="20.25">
      <c r="A97" s="352"/>
      <c r="B97" s="352"/>
      <c r="C97" s="352"/>
      <c r="D97" s="352"/>
      <c r="E97" s="352"/>
      <c r="F97" s="352"/>
      <c r="G97" s="352"/>
      <c r="H97" s="352"/>
      <c r="I97" s="352"/>
      <c r="J97" s="352"/>
      <c r="K97" s="352"/>
    </row>
    <row r="98" spans="1:11" ht="20.25">
      <c r="A98" s="352"/>
      <c r="B98" s="352"/>
      <c r="C98" s="352"/>
      <c r="D98" s="352"/>
      <c r="E98" s="352"/>
      <c r="F98" s="352"/>
      <c r="G98" s="352"/>
      <c r="H98" s="352"/>
      <c r="I98" s="352"/>
      <c r="J98" s="352"/>
      <c r="K98" s="352"/>
    </row>
    <row r="99" spans="1:11" ht="20.25">
      <c r="A99" s="352"/>
      <c r="B99" s="352"/>
      <c r="C99" s="352"/>
      <c r="D99" s="352"/>
      <c r="E99" s="352"/>
      <c r="F99" s="352"/>
      <c r="G99" s="352"/>
      <c r="H99" s="352"/>
      <c r="I99" s="352"/>
      <c r="J99" s="352"/>
      <c r="K99" s="352"/>
    </row>
    <row r="100" spans="1:11" ht="20.25">
      <c r="A100" s="352"/>
      <c r="B100" s="352"/>
      <c r="C100" s="352"/>
      <c r="D100" s="352"/>
      <c r="E100" s="352"/>
      <c r="F100" s="352"/>
      <c r="G100" s="352"/>
      <c r="H100" s="352"/>
      <c r="I100" s="352"/>
      <c r="J100" s="352"/>
      <c r="K100" s="352"/>
    </row>
    <row r="101" spans="1:11" ht="20.25">
      <c r="A101" s="352"/>
      <c r="B101" s="352"/>
      <c r="C101" s="352"/>
      <c r="D101" s="352"/>
      <c r="E101" s="352"/>
      <c r="F101" s="352"/>
      <c r="G101" s="352"/>
      <c r="H101" s="352"/>
      <c r="I101" s="352"/>
      <c r="J101" s="352"/>
      <c r="K101" s="352"/>
    </row>
    <row r="102" spans="1:11" ht="20.25">
      <c r="A102" s="352"/>
      <c r="B102" s="352"/>
      <c r="C102" s="352"/>
      <c r="D102" s="352"/>
      <c r="E102" s="352"/>
      <c r="F102" s="352"/>
      <c r="G102" s="352"/>
      <c r="H102" s="352"/>
      <c r="I102" s="352"/>
      <c r="J102" s="352"/>
      <c r="K102" s="352"/>
    </row>
    <row r="103" spans="1:11" ht="20.25">
      <c r="A103" s="352"/>
      <c r="B103" s="352"/>
      <c r="C103" s="352"/>
      <c r="D103" s="352"/>
      <c r="E103" s="352"/>
      <c r="F103" s="352"/>
      <c r="G103" s="352"/>
      <c r="H103" s="352"/>
      <c r="I103" s="352"/>
      <c r="J103" s="352"/>
      <c r="K103" s="352"/>
    </row>
    <row r="104" spans="1:11" ht="20.25">
      <c r="A104" s="352"/>
      <c r="B104" s="352"/>
      <c r="C104" s="352"/>
      <c r="D104" s="352"/>
      <c r="E104" s="352"/>
      <c r="F104" s="352"/>
      <c r="G104" s="352"/>
      <c r="H104" s="352"/>
      <c r="I104" s="352"/>
      <c r="J104" s="352"/>
      <c r="K104" s="352"/>
    </row>
    <row r="105" spans="1:11" ht="20.25">
      <c r="A105" s="352"/>
      <c r="B105" s="352"/>
      <c r="C105" s="352"/>
      <c r="D105" s="352"/>
      <c r="E105" s="352"/>
      <c r="F105" s="352"/>
      <c r="G105" s="352"/>
      <c r="H105" s="352"/>
      <c r="I105" s="352"/>
      <c r="J105" s="352"/>
      <c r="K105" s="352"/>
    </row>
    <row r="106" spans="1:11" ht="20.25">
      <c r="A106" s="352"/>
      <c r="B106" s="352"/>
      <c r="C106" s="352"/>
      <c r="D106" s="352"/>
      <c r="E106" s="352"/>
      <c r="F106" s="352"/>
      <c r="G106" s="352"/>
      <c r="H106" s="352"/>
      <c r="I106" s="352"/>
      <c r="J106" s="352"/>
      <c r="K106" s="352"/>
    </row>
    <row r="107" spans="1:11" ht="20.25">
      <c r="A107" s="352"/>
      <c r="B107" s="352"/>
      <c r="C107" s="352"/>
      <c r="D107" s="352"/>
      <c r="E107" s="352"/>
      <c r="F107" s="352"/>
      <c r="G107" s="352"/>
      <c r="H107" s="352"/>
      <c r="I107" s="352"/>
      <c r="J107" s="352"/>
      <c r="K107" s="352"/>
    </row>
    <row r="108" spans="1:11" ht="20.25">
      <c r="A108" s="352"/>
      <c r="B108" s="352"/>
      <c r="C108" s="352"/>
      <c r="D108" s="352"/>
      <c r="E108" s="352"/>
      <c r="F108" s="352"/>
      <c r="G108" s="352"/>
      <c r="H108" s="352"/>
      <c r="I108" s="352"/>
      <c r="J108" s="352"/>
      <c r="K108" s="352"/>
    </row>
    <row r="109" spans="1:11" ht="20.25">
      <c r="A109" s="352"/>
      <c r="B109" s="352"/>
      <c r="C109" s="352"/>
      <c r="D109" s="352"/>
      <c r="E109" s="352"/>
      <c r="F109" s="352"/>
      <c r="G109" s="352"/>
      <c r="H109" s="352"/>
      <c r="I109" s="352"/>
      <c r="J109" s="352"/>
      <c r="K109" s="352"/>
    </row>
    <row r="110" spans="1:11" ht="20.25">
      <c r="A110" s="352"/>
      <c r="B110" s="352"/>
      <c r="C110" s="352"/>
      <c r="D110" s="352"/>
      <c r="E110" s="352"/>
      <c r="F110" s="352"/>
      <c r="G110" s="352"/>
      <c r="H110" s="352"/>
      <c r="I110" s="352"/>
      <c r="J110" s="352"/>
      <c r="K110" s="352"/>
    </row>
    <row r="111" spans="1:11" ht="20.25">
      <c r="A111" s="352"/>
      <c r="B111" s="352"/>
      <c r="C111" s="352"/>
      <c r="D111" s="352"/>
      <c r="E111" s="352"/>
      <c r="F111" s="352"/>
      <c r="G111" s="352"/>
      <c r="H111" s="352"/>
      <c r="I111" s="352"/>
      <c r="J111" s="352"/>
      <c r="K111" s="352"/>
    </row>
    <row r="112" spans="1:11" ht="20.25">
      <c r="A112" s="352"/>
      <c r="B112" s="352"/>
      <c r="C112" s="352"/>
      <c r="D112" s="352"/>
      <c r="E112" s="352"/>
      <c r="F112" s="352"/>
      <c r="G112" s="352"/>
      <c r="H112" s="352"/>
      <c r="I112" s="352"/>
      <c r="J112" s="352"/>
      <c r="K112" s="352"/>
    </row>
    <row r="113" spans="1:11" ht="20.25">
      <c r="A113" s="352"/>
      <c r="B113" s="352"/>
      <c r="C113" s="352"/>
      <c r="D113" s="352"/>
      <c r="E113" s="352"/>
      <c r="F113" s="352"/>
      <c r="G113" s="352"/>
      <c r="H113" s="352"/>
      <c r="I113" s="352"/>
      <c r="J113" s="352"/>
      <c r="K113" s="352"/>
    </row>
    <row r="114" spans="1:11" ht="20.25">
      <c r="A114" s="352"/>
      <c r="B114" s="352"/>
      <c r="C114" s="352"/>
      <c r="D114" s="352"/>
      <c r="E114" s="352"/>
      <c r="F114" s="352"/>
      <c r="G114" s="352"/>
      <c r="H114" s="352"/>
      <c r="I114" s="352"/>
      <c r="J114" s="352"/>
      <c r="K114" s="352"/>
    </row>
    <row r="115" spans="1:11" ht="20.25">
      <c r="A115" s="352"/>
      <c r="B115" s="352"/>
      <c r="C115" s="352"/>
      <c r="D115" s="352"/>
      <c r="E115" s="352"/>
      <c r="F115" s="352"/>
      <c r="G115" s="352"/>
      <c r="H115" s="352"/>
      <c r="I115" s="352"/>
      <c r="J115" s="352"/>
      <c r="K115" s="352"/>
    </row>
    <row r="116" spans="1:11" ht="20.25">
      <c r="A116" s="352"/>
      <c r="B116" s="352"/>
      <c r="C116" s="352"/>
      <c r="D116" s="352"/>
      <c r="E116" s="352"/>
      <c r="F116" s="352"/>
      <c r="G116" s="352"/>
      <c r="H116" s="352"/>
      <c r="I116" s="352"/>
      <c r="J116" s="352"/>
      <c r="K116" s="352"/>
    </row>
    <row r="117" spans="1:11" ht="20.25">
      <c r="A117" s="352"/>
      <c r="B117" s="352"/>
      <c r="C117" s="352"/>
      <c r="D117" s="352"/>
      <c r="E117" s="352"/>
      <c r="F117" s="352"/>
      <c r="G117" s="352"/>
      <c r="H117" s="352"/>
      <c r="I117" s="352"/>
      <c r="J117" s="352"/>
      <c r="K117" s="352"/>
    </row>
    <row r="118" spans="1:11" ht="20.25">
      <c r="A118" s="352"/>
      <c r="B118" s="352"/>
      <c r="C118" s="352"/>
      <c r="D118" s="352"/>
      <c r="E118" s="352"/>
      <c r="F118" s="352"/>
      <c r="G118" s="352"/>
      <c r="H118" s="352"/>
      <c r="I118" s="352"/>
      <c r="J118" s="352"/>
      <c r="K118" s="352"/>
    </row>
    <row r="119" spans="1:11" ht="20.25">
      <c r="A119" s="352"/>
      <c r="B119" s="352"/>
      <c r="C119" s="352"/>
      <c r="D119" s="352"/>
      <c r="E119" s="352"/>
      <c r="F119" s="352"/>
      <c r="G119" s="352"/>
      <c r="H119" s="352"/>
      <c r="I119" s="352"/>
      <c r="J119" s="352"/>
      <c r="K119" s="352"/>
    </row>
    <row r="120" spans="1:11" ht="20.25">
      <c r="A120" s="352"/>
      <c r="B120" s="352"/>
      <c r="C120" s="352"/>
      <c r="D120" s="352"/>
      <c r="E120" s="352"/>
      <c r="F120" s="352"/>
      <c r="G120" s="352"/>
      <c r="H120" s="352"/>
      <c r="I120" s="352"/>
      <c r="J120" s="352"/>
      <c r="K120" s="352"/>
    </row>
    <row r="121" spans="1:11" ht="20.25">
      <c r="A121" s="352"/>
      <c r="B121" s="352"/>
      <c r="C121" s="352"/>
      <c r="D121" s="352"/>
      <c r="E121" s="352"/>
      <c r="F121" s="352"/>
      <c r="G121" s="352"/>
      <c r="H121" s="352"/>
      <c r="I121" s="352"/>
      <c r="J121" s="352"/>
      <c r="K121" s="352"/>
    </row>
    <row r="122" spans="1:11" ht="20.25">
      <c r="A122" s="352"/>
      <c r="B122" s="352"/>
      <c r="C122" s="352"/>
      <c r="D122" s="352"/>
      <c r="E122" s="352"/>
      <c r="F122" s="352"/>
      <c r="G122" s="352"/>
      <c r="H122" s="352"/>
      <c r="I122" s="352"/>
      <c r="J122" s="352"/>
      <c r="K122" s="352"/>
    </row>
    <row r="123" spans="1:11" ht="20.25">
      <c r="A123" s="352"/>
      <c r="B123" s="352"/>
      <c r="C123" s="352"/>
      <c r="D123" s="352"/>
      <c r="E123" s="352"/>
      <c r="F123" s="352"/>
      <c r="G123" s="352"/>
      <c r="H123" s="352"/>
      <c r="I123" s="352"/>
      <c r="J123" s="352"/>
      <c r="K123" s="352"/>
    </row>
    <row r="124" spans="1:11" ht="20.25">
      <c r="A124" s="352"/>
      <c r="B124" s="352"/>
      <c r="C124" s="352"/>
      <c r="D124" s="352"/>
      <c r="E124" s="352"/>
      <c r="F124" s="352"/>
      <c r="G124" s="352"/>
      <c r="H124" s="352"/>
      <c r="I124" s="352"/>
      <c r="J124" s="352"/>
      <c r="K124" s="352"/>
    </row>
    <row r="125" spans="1:11" ht="20.25">
      <c r="A125" s="352"/>
      <c r="B125" s="352"/>
      <c r="C125" s="352"/>
      <c r="D125" s="352"/>
      <c r="E125" s="352"/>
      <c r="F125" s="352"/>
      <c r="G125" s="352"/>
      <c r="H125" s="352"/>
      <c r="I125" s="352"/>
      <c r="J125" s="352"/>
      <c r="K125" s="352"/>
    </row>
    <row r="126" spans="1:11" ht="20.25">
      <c r="A126" s="352"/>
      <c r="B126" s="352"/>
      <c r="C126" s="352"/>
      <c r="D126" s="352"/>
      <c r="E126" s="352"/>
      <c r="F126" s="352"/>
      <c r="G126" s="352"/>
      <c r="H126" s="352"/>
      <c r="I126" s="352"/>
      <c r="J126" s="352"/>
      <c r="K126" s="352"/>
    </row>
    <row r="127" spans="1:11" ht="20.25">
      <c r="A127" s="352"/>
      <c r="B127" s="352"/>
      <c r="C127" s="352"/>
      <c r="D127" s="352"/>
      <c r="E127" s="352"/>
      <c r="F127" s="352"/>
      <c r="G127" s="352"/>
      <c r="H127" s="352"/>
      <c r="I127" s="352"/>
      <c r="J127" s="352"/>
      <c r="K127" s="352"/>
    </row>
    <row r="128" spans="1:11" ht="20.25">
      <c r="A128" s="352"/>
      <c r="B128" s="352"/>
      <c r="C128" s="352"/>
      <c r="D128" s="352"/>
      <c r="E128" s="352"/>
      <c r="F128" s="352"/>
      <c r="G128" s="352"/>
      <c r="H128" s="352"/>
      <c r="I128" s="352"/>
      <c r="J128" s="352"/>
      <c r="K128" s="352"/>
    </row>
    <row r="129" spans="1:11" ht="20.25">
      <c r="A129" s="352"/>
      <c r="B129" s="352"/>
      <c r="C129" s="352"/>
      <c r="D129" s="352"/>
      <c r="E129" s="352"/>
      <c r="F129" s="352"/>
      <c r="G129" s="352"/>
      <c r="H129" s="352"/>
      <c r="I129" s="352"/>
      <c r="J129" s="352"/>
      <c r="K129" s="352"/>
    </row>
    <row r="130" spans="1:11" ht="20.25">
      <c r="A130" s="352"/>
      <c r="B130" s="352"/>
      <c r="C130" s="352"/>
      <c r="D130" s="352"/>
      <c r="E130" s="352"/>
      <c r="F130" s="352"/>
      <c r="G130" s="352"/>
      <c r="H130" s="352"/>
      <c r="I130" s="352"/>
      <c r="J130" s="352"/>
      <c r="K130" s="352"/>
    </row>
    <row r="131" spans="1:11" ht="20.25">
      <c r="A131" s="352"/>
      <c r="B131" s="352"/>
      <c r="C131" s="352"/>
      <c r="D131" s="352"/>
      <c r="E131" s="352"/>
      <c r="F131" s="352"/>
      <c r="G131" s="352"/>
      <c r="H131" s="352"/>
      <c r="I131" s="352"/>
      <c r="J131" s="352"/>
      <c r="K131" s="352"/>
    </row>
    <row r="132" spans="1:11" ht="20.25">
      <c r="A132" s="352"/>
      <c r="B132" s="352"/>
      <c r="C132" s="352"/>
      <c r="D132" s="352"/>
      <c r="E132" s="352"/>
      <c r="F132" s="352"/>
      <c r="G132" s="352"/>
      <c r="H132" s="352"/>
      <c r="I132" s="352"/>
      <c r="J132" s="352"/>
      <c r="K132" s="352"/>
    </row>
    <row r="133" spans="1:11" ht="20.25">
      <c r="A133" s="352"/>
      <c r="B133" s="352"/>
      <c r="C133" s="352"/>
      <c r="D133" s="352"/>
      <c r="E133" s="352"/>
      <c r="F133" s="352"/>
      <c r="G133" s="352"/>
      <c r="H133" s="352"/>
      <c r="I133" s="352"/>
      <c r="J133" s="352"/>
      <c r="K133" s="352"/>
    </row>
    <row r="134" spans="1:11" ht="20.25">
      <c r="A134" s="352"/>
      <c r="B134" s="352"/>
      <c r="C134" s="352"/>
      <c r="D134" s="352"/>
      <c r="E134" s="352"/>
      <c r="F134" s="352"/>
      <c r="G134" s="352"/>
      <c r="H134" s="352"/>
      <c r="I134" s="352"/>
      <c r="J134" s="352"/>
      <c r="K134" s="352"/>
    </row>
    <row r="135" spans="1:11" ht="20.25">
      <c r="A135" s="352"/>
      <c r="B135" s="352"/>
      <c r="C135" s="352"/>
      <c r="D135" s="352"/>
      <c r="E135" s="352"/>
      <c r="F135" s="352"/>
      <c r="G135" s="352"/>
      <c r="H135" s="352"/>
      <c r="I135" s="352"/>
      <c r="J135" s="352"/>
      <c r="K135" s="352"/>
    </row>
    <row r="136" spans="1:11" ht="20.25">
      <c r="A136" s="352"/>
      <c r="B136" s="352"/>
      <c r="C136" s="352"/>
      <c r="D136" s="352"/>
      <c r="E136" s="352"/>
      <c r="F136" s="352"/>
      <c r="G136" s="352"/>
      <c r="H136" s="352"/>
      <c r="I136" s="352"/>
      <c r="J136" s="352"/>
      <c r="K136" s="352"/>
    </row>
    <row r="137" spans="1:11" ht="20.25">
      <c r="A137" s="352"/>
      <c r="B137" s="352"/>
      <c r="C137" s="352"/>
      <c r="D137" s="352"/>
      <c r="E137" s="352"/>
      <c r="F137" s="352"/>
      <c r="G137" s="352"/>
      <c r="H137" s="352"/>
      <c r="I137" s="352"/>
      <c r="J137" s="352"/>
      <c r="K137" s="352"/>
    </row>
    <row r="138" spans="1:11" ht="20.25">
      <c r="A138" s="352"/>
      <c r="B138" s="352"/>
      <c r="C138" s="352"/>
      <c r="D138" s="352"/>
      <c r="E138" s="352"/>
      <c r="F138" s="352"/>
      <c r="G138" s="352"/>
      <c r="H138" s="352"/>
      <c r="I138" s="352"/>
      <c r="J138" s="352"/>
      <c r="K138" s="352"/>
    </row>
    <row r="139" spans="1:11" ht="20.25">
      <c r="A139" s="352"/>
      <c r="B139" s="352"/>
      <c r="C139" s="352"/>
      <c r="D139" s="352"/>
      <c r="E139" s="352"/>
      <c r="F139" s="352"/>
      <c r="G139" s="352"/>
      <c r="H139" s="352"/>
      <c r="I139" s="352"/>
      <c r="J139" s="352"/>
      <c r="K139" s="352"/>
    </row>
    <row r="140" spans="1:11" ht="20.25">
      <c r="A140" s="352"/>
      <c r="B140" s="352"/>
      <c r="C140" s="352"/>
      <c r="D140" s="352"/>
      <c r="E140" s="352"/>
      <c r="F140" s="352"/>
      <c r="G140" s="352"/>
      <c r="H140" s="352"/>
      <c r="I140" s="352"/>
      <c r="J140" s="352"/>
      <c r="K140" s="352"/>
    </row>
    <row r="141" spans="1:11" ht="20.25">
      <c r="A141" s="352"/>
      <c r="B141" s="352"/>
      <c r="C141" s="352"/>
      <c r="D141" s="352"/>
      <c r="E141" s="352"/>
      <c r="F141" s="352"/>
      <c r="G141" s="352"/>
      <c r="H141" s="352"/>
      <c r="I141" s="352"/>
      <c r="J141" s="352"/>
      <c r="K141" s="352"/>
    </row>
    <row r="142" spans="1:11" ht="20.25">
      <c r="A142" s="352"/>
      <c r="B142" s="352"/>
      <c r="C142" s="352"/>
      <c r="D142" s="352"/>
      <c r="E142" s="352"/>
      <c r="F142" s="352"/>
      <c r="G142" s="352"/>
      <c r="H142" s="352"/>
      <c r="I142" s="352"/>
      <c r="J142" s="352"/>
      <c r="K142" s="352"/>
    </row>
    <row r="143" spans="1:11" ht="20.25">
      <c r="A143" s="352"/>
      <c r="B143" s="352"/>
      <c r="C143" s="352"/>
      <c r="D143" s="352"/>
      <c r="E143" s="352"/>
      <c r="F143" s="352"/>
      <c r="G143" s="352"/>
      <c r="H143" s="352"/>
      <c r="I143" s="352"/>
      <c r="J143" s="352"/>
      <c r="K143" s="352"/>
    </row>
    <row r="144" spans="1:11" ht="20.25">
      <c r="A144" s="352"/>
      <c r="B144" s="352"/>
      <c r="C144" s="352"/>
      <c r="D144" s="352"/>
      <c r="E144" s="352"/>
      <c r="F144" s="352"/>
      <c r="G144" s="352"/>
      <c r="H144" s="352"/>
      <c r="I144" s="352"/>
      <c r="J144" s="352"/>
      <c r="K144" s="352"/>
    </row>
    <row r="145" spans="1:11" ht="20.25">
      <c r="A145" s="352"/>
      <c r="B145" s="352"/>
      <c r="C145" s="352"/>
      <c r="D145" s="352"/>
      <c r="E145" s="352"/>
      <c r="F145" s="352"/>
      <c r="G145" s="352"/>
      <c r="H145" s="352"/>
      <c r="I145" s="352"/>
      <c r="J145" s="352"/>
      <c r="K145" s="352"/>
    </row>
    <row r="146" spans="1:11" ht="20.25">
      <c r="A146" s="352"/>
      <c r="B146" s="352"/>
      <c r="C146" s="352"/>
      <c r="D146" s="352"/>
      <c r="E146" s="352"/>
      <c r="F146" s="352"/>
      <c r="G146" s="352"/>
      <c r="H146" s="352"/>
      <c r="I146" s="352"/>
      <c r="J146" s="352"/>
      <c r="K146" s="352"/>
    </row>
    <row r="147" spans="1:11" ht="20.25">
      <c r="A147" s="352"/>
      <c r="B147" s="352"/>
      <c r="C147" s="352"/>
      <c r="D147" s="352"/>
      <c r="E147" s="352"/>
      <c r="F147" s="352"/>
      <c r="G147" s="352"/>
      <c r="H147" s="352"/>
      <c r="I147" s="352"/>
      <c r="J147" s="352"/>
      <c r="K147" s="352"/>
    </row>
    <row r="148" spans="1:11" ht="20.25">
      <c r="A148" s="352"/>
      <c r="B148" s="352"/>
      <c r="C148" s="352"/>
      <c r="D148" s="352"/>
      <c r="E148" s="352"/>
      <c r="F148" s="352"/>
      <c r="G148" s="352"/>
      <c r="H148" s="352"/>
      <c r="I148" s="352"/>
      <c r="J148" s="352"/>
      <c r="K148" s="352"/>
    </row>
    <row r="149" spans="1:11" ht="20.25">
      <c r="A149" s="352"/>
      <c r="B149" s="352"/>
      <c r="C149" s="352"/>
      <c r="D149" s="352"/>
      <c r="E149" s="352"/>
      <c r="F149" s="352"/>
      <c r="G149" s="352"/>
      <c r="H149" s="352"/>
      <c r="I149" s="352"/>
      <c r="J149" s="352"/>
      <c r="K149" s="352"/>
    </row>
    <row r="150" spans="1:11" ht="20.25">
      <c r="A150" s="352"/>
      <c r="B150" s="352"/>
      <c r="C150" s="352"/>
      <c r="D150" s="352"/>
      <c r="E150" s="352"/>
      <c r="F150" s="352"/>
      <c r="G150" s="352"/>
      <c r="H150" s="352"/>
      <c r="I150" s="352"/>
      <c r="J150" s="352"/>
      <c r="K150" s="352"/>
    </row>
    <row r="151" spans="1:11" ht="20.25">
      <c r="A151" s="352"/>
      <c r="B151" s="352"/>
      <c r="C151" s="352"/>
      <c r="D151" s="352"/>
      <c r="E151" s="352"/>
      <c r="F151" s="352"/>
      <c r="G151" s="352"/>
      <c r="H151" s="352"/>
      <c r="I151" s="352"/>
      <c r="J151" s="352"/>
      <c r="K151" s="352"/>
    </row>
    <row r="152" spans="1:11" ht="20.25">
      <c r="A152" s="352"/>
      <c r="B152" s="352"/>
      <c r="C152" s="352"/>
      <c r="D152" s="352"/>
      <c r="E152" s="352"/>
      <c r="F152" s="352"/>
      <c r="G152" s="352"/>
      <c r="H152" s="352"/>
      <c r="I152" s="352"/>
      <c r="J152" s="352"/>
      <c r="K152" s="352"/>
    </row>
    <row r="153" spans="1:11" ht="20.25">
      <c r="A153" s="352"/>
      <c r="B153" s="352"/>
      <c r="C153" s="352"/>
      <c r="D153" s="352"/>
      <c r="E153" s="352"/>
      <c r="F153" s="352"/>
      <c r="G153" s="352"/>
      <c r="H153" s="352"/>
      <c r="I153" s="352"/>
      <c r="J153" s="352"/>
      <c r="K153" s="352"/>
    </row>
    <row r="154" spans="1:11" ht="20.25">
      <c r="A154" s="352"/>
      <c r="B154" s="352"/>
      <c r="C154" s="352"/>
      <c r="D154" s="352"/>
      <c r="E154" s="352"/>
      <c r="F154" s="352"/>
      <c r="G154" s="352"/>
      <c r="H154" s="352"/>
      <c r="I154" s="352"/>
      <c r="J154" s="352"/>
      <c r="K154" s="352"/>
    </row>
    <row r="155" spans="1:11" ht="20.25">
      <c r="A155" s="352"/>
      <c r="B155" s="352"/>
      <c r="C155" s="352"/>
      <c r="D155" s="352"/>
      <c r="E155" s="352"/>
      <c r="F155" s="352"/>
      <c r="G155" s="352"/>
      <c r="H155" s="352"/>
      <c r="I155" s="352"/>
      <c r="J155" s="352"/>
      <c r="K155" s="352"/>
    </row>
    <row r="156" spans="1:11" ht="20.25">
      <c r="A156" s="352"/>
      <c r="B156" s="352"/>
      <c r="C156" s="352"/>
      <c r="D156" s="352"/>
      <c r="E156" s="352"/>
      <c r="F156" s="352"/>
      <c r="G156" s="352"/>
      <c r="H156" s="352"/>
      <c r="I156" s="352"/>
      <c r="J156" s="352"/>
      <c r="K156" s="352"/>
    </row>
    <row r="157" spans="1:11" ht="20.25">
      <c r="A157" s="352"/>
      <c r="B157" s="352"/>
      <c r="C157" s="352"/>
      <c r="D157" s="352"/>
      <c r="E157" s="352"/>
      <c r="F157" s="352"/>
      <c r="G157" s="352"/>
      <c r="H157" s="352"/>
      <c r="I157" s="352"/>
      <c r="J157" s="352"/>
      <c r="K157" s="352"/>
    </row>
    <row r="158" spans="1:11" ht="20.25">
      <c r="A158" s="352"/>
      <c r="B158" s="352"/>
      <c r="C158" s="352"/>
      <c r="D158" s="352"/>
      <c r="E158" s="352"/>
      <c r="F158" s="352"/>
      <c r="G158" s="352"/>
      <c r="H158" s="352"/>
      <c r="I158" s="352"/>
      <c r="J158" s="352"/>
      <c r="K158" s="352"/>
    </row>
    <row r="159" spans="1:11" ht="20.25">
      <c r="A159" s="352"/>
      <c r="B159" s="352"/>
      <c r="C159" s="352"/>
      <c r="D159" s="352"/>
      <c r="E159" s="352"/>
      <c r="F159" s="352"/>
      <c r="G159" s="352"/>
      <c r="H159" s="352"/>
      <c r="I159" s="352"/>
      <c r="J159" s="352"/>
      <c r="K159" s="352"/>
    </row>
    <row r="160" spans="1:11" ht="20.25">
      <c r="A160" s="352"/>
      <c r="B160" s="352"/>
      <c r="C160" s="352"/>
      <c r="D160" s="352"/>
      <c r="E160" s="352"/>
      <c r="F160" s="352"/>
      <c r="G160" s="352"/>
      <c r="H160" s="352"/>
      <c r="I160" s="352"/>
      <c r="J160" s="352"/>
      <c r="K160" s="352"/>
    </row>
    <row r="161" spans="1:11" ht="20.25">
      <c r="A161" s="352"/>
      <c r="B161" s="352"/>
      <c r="C161" s="352"/>
      <c r="D161" s="352"/>
      <c r="E161" s="352"/>
      <c r="F161" s="352"/>
      <c r="G161" s="352"/>
      <c r="H161" s="352"/>
      <c r="I161" s="352"/>
      <c r="J161" s="352"/>
      <c r="K161" s="352"/>
    </row>
    <row r="162" spans="1:11" ht="20.25">
      <c r="A162" s="352"/>
      <c r="B162" s="352"/>
      <c r="C162" s="352"/>
      <c r="D162" s="352"/>
      <c r="E162" s="352"/>
      <c r="F162" s="352"/>
      <c r="G162" s="352"/>
      <c r="H162" s="352"/>
      <c r="I162" s="352"/>
      <c r="J162" s="352"/>
      <c r="K162" s="352"/>
    </row>
    <row r="163" spans="1:11" ht="20.25">
      <c r="A163" s="352"/>
      <c r="B163" s="352"/>
      <c r="C163" s="352"/>
      <c r="D163" s="352"/>
      <c r="E163" s="352"/>
      <c r="F163" s="352"/>
      <c r="G163" s="352"/>
      <c r="H163" s="352"/>
      <c r="I163" s="352"/>
      <c r="J163" s="352"/>
      <c r="K163" s="352"/>
    </row>
    <row r="164" spans="1:11" ht="20.25">
      <c r="A164" s="352"/>
      <c r="B164" s="352"/>
      <c r="C164" s="352"/>
      <c r="D164" s="352"/>
      <c r="E164" s="352"/>
      <c r="F164" s="352"/>
      <c r="G164" s="352"/>
      <c r="H164" s="352"/>
      <c r="I164" s="352"/>
      <c r="J164" s="352"/>
      <c r="K164" s="352"/>
    </row>
    <row r="165" spans="1:11" ht="20.25">
      <c r="A165" s="352"/>
      <c r="B165" s="352"/>
      <c r="C165" s="352"/>
      <c r="D165" s="352"/>
      <c r="E165" s="352"/>
      <c r="F165" s="352"/>
      <c r="G165" s="352"/>
      <c r="H165" s="352"/>
      <c r="I165" s="352"/>
      <c r="J165" s="352"/>
      <c r="K165" s="352"/>
    </row>
    <row r="166" spans="1:11" ht="20.25">
      <c r="A166" s="352"/>
      <c r="B166" s="352"/>
      <c r="C166" s="352"/>
      <c r="D166" s="352"/>
      <c r="E166" s="352"/>
      <c r="F166" s="352"/>
      <c r="G166" s="352"/>
      <c r="H166" s="352"/>
      <c r="I166" s="352"/>
      <c r="J166" s="352"/>
      <c r="K166" s="352"/>
    </row>
    <row r="167" spans="1:11" ht="20.25">
      <c r="A167" s="352"/>
      <c r="B167" s="352"/>
      <c r="C167" s="352"/>
      <c r="D167" s="352"/>
      <c r="E167" s="352"/>
      <c r="F167" s="352"/>
      <c r="G167" s="352"/>
      <c r="H167" s="352"/>
      <c r="I167" s="352"/>
      <c r="J167" s="352"/>
      <c r="K167" s="352"/>
    </row>
    <row r="168" spans="1:11" ht="20.25">
      <c r="A168" s="352"/>
      <c r="B168" s="352"/>
      <c r="C168" s="352"/>
      <c r="D168" s="352"/>
      <c r="E168" s="352"/>
      <c r="F168" s="352"/>
      <c r="G168" s="352"/>
      <c r="H168" s="352"/>
      <c r="I168" s="352"/>
      <c r="J168" s="352"/>
      <c r="K168" s="352"/>
    </row>
    <row r="169" spans="1:11" ht="20.25">
      <c r="A169" s="352"/>
      <c r="B169" s="352"/>
      <c r="C169" s="352"/>
      <c r="D169" s="352"/>
      <c r="E169" s="352"/>
      <c r="F169" s="352"/>
      <c r="G169" s="352"/>
      <c r="H169" s="352"/>
      <c r="I169" s="352"/>
      <c r="J169" s="352"/>
      <c r="K169" s="352"/>
    </row>
    <row r="170" spans="1:11" ht="20.25">
      <c r="A170" s="352"/>
      <c r="B170" s="352"/>
      <c r="C170" s="352"/>
      <c r="D170" s="352"/>
      <c r="E170" s="352"/>
      <c r="F170" s="352"/>
      <c r="G170" s="352"/>
      <c r="H170" s="352"/>
      <c r="I170" s="352"/>
      <c r="J170" s="352"/>
      <c r="K170" s="352"/>
    </row>
    <row r="171" spans="1:11" ht="20.25">
      <c r="A171" s="352"/>
      <c r="B171" s="352"/>
      <c r="C171" s="352"/>
      <c r="D171" s="352"/>
      <c r="E171" s="352"/>
      <c r="F171" s="352"/>
      <c r="G171" s="352"/>
      <c r="H171" s="352"/>
      <c r="I171" s="352"/>
      <c r="J171" s="352"/>
      <c r="K171" s="352"/>
    </row>
    <row r="172" spans="1:11" ht="20.25">
      <c r="A172" s="352"/>
      <c r="B172" s="352"/>
      <c r="C172" s="352"/>
      <c r="D172" s="352"/>
      <c r="E172" s="352"/>
      <c r="F172" s="352"/>
      <c r="G172" s="352"/>
      <c r="H172" s="352"/>
      <c r="I172" s="352"/>
      <c r="J172" s="352"/>
      <c r="K172" s="352"/>
    </row>
    <row r="173" spans="1:11" ht="20.25">
      <c r="A173" s="352"/>
      <c r="B173" s="352"/>
      <c r="C173" s="352"/>
      <c r="D173" s="352"/>
      <c r="E173" s="352"/>
      <c r="F173" s="352"/>
      <c r="G173" s="352"/>
      <c r="H173" s="352"/>
      <c r="I173" s="352"/>
      <c r="J173" s="352"/>
      <c r="K173" s="352"/>
    </row>
    <row r="174" spans="1:11" ht="20.25">
      <c r="A174" s="352"/>
      <c r="B174" s="352"/>
      <c r="C174" s="352"/>
      <c r="D174" s="352"/>
      <c r="E174" s="352"/>
      <c r="F174" s="352"/>
      <c r="G174" s="352"/>
      <c r="H174" s="352"/>
      <c r="I174" s="352"/>
      <c r="J174" s="352"/>
      <c r="K174" s="352"/>
    </row>
    <row r="175" spans="1:11" ht="20.25">
      <c r="A175" s="352"/>
      <c r="B175" s="352"/>
      <c r="C175" s="352"/>
      <c r="D175" s="352"/>
      <c r="E175" s="352"/>
      <c r="F175" s="352"/>
      <c r="G175" s="352"/>
      <c r="H175" s="352"/>
      <c r="I175" s="352"/>
      <c r="J175" s="352"/>
      <c r="K175" s="352"/>
    </row>
    <row r="176" spans="1:11" ht="20.25">
      <c r="A176" s="352"/>
      <c r="B176" s="352"/>
      <c r="C176" s="352"/>
      <c r="D176" s="352"/>
      <c r="E176" s="352"/>
      <c r="F176" s="352"/>
      <c r="G176" s="352"/>
      <c r="H176" s="352"/>
      <c r="I176" s="352"/>
      <c r="J176" s="352"/>
      <c r="K176" s="352"/>
    </row>
    <row r="177" spans="1:11" ht="20.25">
      <c r="A177" s="352"/>
      <c r="B177" s="352"/>
      <c r="C177" s="352"/>
      <c r="D177" s="352"/>
      <c r="E177" s="352"/>
      <c r="F177" s="352"/>
      <c r="G177" s="352"/>
      <c r="H177" s="352"/>
      <c r="I177" s="352"/>
      <c r="J177" s="352"/>
      <c r="K177" s="352"/>
    </row>
    <row r="178" spans="1:11" ht="20.25">
      <c r="A178" s="352"/>
      <c r="B178" s="352"/>
      <c r="C178" s="352"/>
      <c r="D178" s="352"/>
      <c r="E178" s="352"/>
      <c r="F178" s="352"/>
      <c r="G178" s="352"/>
      <c r="H178" s="352"/>
      <c r="I178" s="352"/>
      <c r="J178" s="352"/>
      <c r="K178" s="352"/>
    </row>
    <row r="179" spans="1:11" ht="20.25">
      <c r="A179" s="352"/>
      <c r="B179" s="352"/>
      <c r="C179" s="352"/>
      <c r="D179" s="352"/>
      <c r="E179" s="352"/>
      <c r="F179" s="352"/>
      <c r="G179" s="352"/>
      <c r="H179" s="352"/>
      <c r="I179" s="352"/>
      <c r="J179" s="352"/>
      <c r="K179" s="352"/>
    </row>
    <row r="180" spans="1:11" ht="20.25">
      <c r="A180" s="352"/>
      <c r="B180" s="352"/>
      <c r="C180" s="352"/>
      <c r="D180" s="352"/>
      <c r="E180" s="352"/>
      <c r="F180" s="352"/>
      <c r="G180" s="352"/>
      <c r="H180" s="352"/>
      <c r="I180" s="352"/>
      <c r="J180" s="352"/>
      <c r="K180" s="352"/>
    </row>
    <row r="181" spans="1:11" ht="20.25">
      <c r="A181" s="352"/>
      <c r="B181" s="352"/>
      <c r="C181" s="352"/>
      <c r="D181" s="352"/>
      <c r="E181" s="352"/>
      <c r="F181" s="352"/>
      <c r="G181" s="352"/>
      <c r="H181" s="352"/>
      <c r="I181" s="352"/>
      <c r="J181" s="352"/>
      <c r="K181" s="352"/>
    </row>
    <row r="182" spans="1:11" ht="20.25">
      <c r="A182" s="352"/>
      <c r="B182" s="352"/>
      <c r="C182" s="352"/>
      <c r="D182" s="352"/>
      <c r="E182" s="352"/>
      <c r="F182" s="352"/>
      <c r="G182" s="352"/>
      <c r="H182" s="352"/>
      <c r="I182" s="352"/>
      <c r="J182" s="352"/>
      <c r="K182" s="352"/>
    </row>
    <row r="183" spans="1:11" ht="20.25">
      <c r="A183" s="352"/>
      <c r="B183" s="352"/>
      <c r="C183" s="352"/>
      <c r="D183" s="352"/>
      <c r="E183" s="352"/>
      <c r="F183" s="352"/>
      <c r="G183" s="352"/>
      <c r="H183" s="352"/>
      <c r="I183" s="352"/>
      <c r="J183" s="352"/>
      <c r="K183" s="352"/>
    </row>
    <row r="184" spans="1:11" ht="20.25">
      <c r="A184" s="352"/>
      <c r="B184" s="352"/>
      <c r="C184" s="352"/>
      <c r="D184" s="352"/>
      <c r="E184" s="352"/>
      <c r="F184" s="352"/>
      <c r="G184" s="352"/>
      <c r="H184" s="352"/>
      <c r="I184" s="352"/>
      <c r="J184" s="352"/>
      <c r="K184" s="352"/>
    </row>
    <row r="185" spans="1:11" ht="20.25">
      <c r="A185" s="352"/>
      <c r="B185" s="352"/>
      <c r="C185" s="352"/>
      <c r="D185" s="352"/>
      <c r="E185" s="352"/>
      <c r="F185" s="352"/>
      <c r="G185" s="352"/>
      <c r="H185" s="352"/>
      <c r="I185" s="352"/>
      <c r="J185" s="352"/>
      <c r="K185" s="352"/>
    </row>
    <row r="186" spans="1:11" ht="20.25">
      <c r="A186" s="352"/>
      <c r="B186" s="352"/>
      <c r="C186" s="352"/>
      <c r="D186" s="352"/>
      <c r="E186" s="352"/>
      <c r="F186" s="352"/>
      <c r="G186" s="352"/>
      <c r="H186" s="352"/>
      <c r="I186" s="352"/>
      <c r="J186" s="352"/>
      <c r="K186" s="352"/>
    </row>
    <row r="187" spans="1:11" ht="20.25">
      <c r="A187" s="352"/>
      <c r="B187" s="352"/>
      <c r="C187" s="352"/>
      <c r="D187" s="352"/>
      <c r="E187" s="352"/>
      <c r="F187" s="352"/>
      <c r="G187" s="352"/>
      <c r="H187" s="352"/>
      <c r="I187" s="352"/>
      <c r="J187" s="352"/>
      <c r="K187" s="352"/>
    </row>
    <row r="188" spans="1:11" ht="20.25">
      <c r="A188" s="352"/>
      <c r="B188" s="352"/>
      <c r="C188" s="352"/>
      <c r="D188" s="352"/>
      <c r="E188" s="352"/>
      <c r="F188" s="352"/>
      <c r="G188" s="352"/>
      <c r="H188" s="352"/>
      <c r="I188" s="352"/>
      <c r="J188" s="352"/>
      <c r="K188" s="352"/>
    </row>
    <row r="189" spans="1:11" ht="20.25">
      <c r="A189" s="352"/>
      <c r="B189" s="352"/>
      <c r="C189" s="352"/>
      <c r="D189" s="352"/>
      <c r="E189" s="352"/>
      <c r="F189" s="352"/>
      <c r="G189" s="352"/>
      <c r="H189" s="352"/>
      <c r="I189" s="352"/>
      <c r="J189" s="352"/>
      <c r="K189" s="352"/>
    </row>
    <row r="190" spans="1:11" ht="20.25">
      <c r="A190" s="352"/>
      <c r="B190" s="352"/>
      <c r="C190" s="352"/>
      <c r="D190" s="352"/>
      <c r="E190" s="352"/>
      <c r="F190" s="352"/>
      <c r="G190" s="352"/>
      <c r="H190" s="352"/>
      <c r="I190" s="352"/>
      <c r="J190" s="352"/>
      <c r="K190" s="352"/>
    </row>
    <row r="191" spans="1:11" ht="20.25">
      <c r="A191" s="352"/>
      <c r="B191" s="352"/>
      <c r="C191" s="352"/>
      <c r="D191" s="352"/>
      <c r="E191" s="352"/>
      <c r="F191" s="352"/>
      <c r="G191" s="352"/>
      <c r="H191" s="352"/>
      <c r="I191" s="352"/>
      <c r="J191" s="352"/>
      <c r="K191" s="352"/>
    </row>
    <row r="192" spans="1:11" ht="20.25">
      <c r="A192" s="352"/>
      <c r="B192" s="352"/>
      <c r="C192" s="352"/>
      <c r="D192" s="352"/>
      <c r="E192" s="352"/>
      <c r="F192" s="352"/>
      <c r="G192" s="352"/>
      <c r="H192" s="352"/>
      <c r="I192" s="352"/>
      <c r="J192" s="352"/>
      <c r="K192" s="352"/>
    </row>
    <row r="193" spans="1:11" ht="20.25">
      <c r="A193" s="352"/>
      <c r="B193" s="352"/>
      <c r="C193" s="352"/>
      <c r="D193" s="352"/>
      <c r="E193" s="352"/>
      <c r="F193" s="352"/>
      <c r="G193" s="352"/>
      <c r="H193" s="352"/>
      <c r="I193" s="352"/>
      <c r="J193" s="352"/>
      <c r="K193" s="352"/>
    </row>
    <row r="194" spans="1:11" ht="20.25">
      <c r="A194" s="352"/>
      <c r="B194" s="352"/>
      <c r="C194" s="352"/>
      <c r="D194" s="352"/>
      <c r="E194" s="352"/>
      <c r="F194" s="352"/>
      <c r="G194" s="352"/>
      <c r="H194" s="352"/>
      <c r="I194" s="352"/>
      <c r="J194" s="352"/>
      <c r="K194" s="352"/>
    </row>
    <row r="195" spans="1:11" ht="20.25">
      <c r="A195" s="352"/>
      <c r="B195" s="352"/>
      <c r="C195" s="352"/>
      <c r="D195" s="352"/>
      <c r="E195" s="352"/>
      <c r="F195" s="352"/>
      <c r="G195" s="352"/>
      <c r="H195" s="352"/>
      <c r="I195" s="352"/>
      <c r="J195" s="352"/>
      <c r="K195" s="352"/>
    </row>
    <row r="196" spans="1:11" ht="20.25">
      <c r="A196" s="352"/>
      <c r="B196" s="352"/>
      <c r="C196" s="352"/>
      <c r="D196" s="352"/>
      <c r="E196" s="352"/>
      <c r="F196" s="352"/>
      <c r="G196" s="352"/>
      <c r="H196" s="352"/>
      <c r="I196" s="352"/>
      <c r="J196" s="352"/>
      <c r="K196" s="352"/>
    </row>
    <row r="197" spans="1:11" ht="20.25">
      <c r="A197" s="352"/>
      <c r="B197" s="352"/>
      <c r="C197" s="352"/>
      <c r="D197" s="352"/>
      <c r="E197" s="352"/>
      <c r="F197" s="352"/>
      <c r="G197" s="352"/>
      <c r="H197" s="352"/>
      <c r="I197" s="352"/>
      <c r="J197" s="352"/>
      <c r="K197" s="352"/>
    </row>
    <row r="198" spans="1:11" ht="20.25">
      <c r="A198" s="352"/>
      <c r="B198" s="352"/>
      <c r="C198" s="352"/>
      <c r="D198" s="352"/>
      <c r="E198" s="352"/>
      <c r="F198" s="352"/>
      <c r="G198" s="352"/>
      <c r="H198" s="352"/>
      <c r="I198" s="352"/>
      <c r="J198" s="352"/>
      <c r="K198" s="352"/>
    </row>
    <row r="199" spans="1:11" ht="20.25">
      <c r="A199" s="352"/>
      <c r="B199" s="352"/>
      <c r="C199" s="352"/>
      <c r="D199" s="352"/>
      <c r="E199" s="352"/>
      <c r="F199" s="352"/>
      <c r="G199" s="352"/>
      <c r="H199" s="352"/>
      <c r="I199" s="352"/>
      <c r="J199" s="352"/>
      <c r="K199" s="352"/>
    </row>
    <row r="200" spans="1:11" ht="20.25">
      <c r="A200" s="352"/>
      <c r="B200" s="352"/>
      <c r="C200" s="352"/>
      <c r="D200" s="352"/>
      <c r="E200" s="352"/>
      <c r="F200" s="352"/>
      <c r="G200" s="352"/>
      <c r="H200" s="352"/>
      <c r="I200" s="352"/>
      <c r="J200" s="352"/>
      <c r="K200" s="352"/>
    </row>
    <row r="201" spans="1:11" ht="20.25">
      <c r="A201" s="352"/>
      <c r="B201" s="352"/>
      <c r="C201" s="352"/>
      <c r="D201" s="352"/>
      <c r="E201" s="352"/>
      <c r="F201" s="352"/>
      <c r="G201" s="352"/>
      <c r="H201" s="352"/>
      <c r="I201" s="352"/>
      <c r="J201" s="352"/>
      <c r="K201" s="352"/>
    </row>
    <row r="202" spans="1:11" ht="20.25">
      <c r="A202" s="352"/>
      <c r="B202" s="352"/>
      <c r="C202" s="352"/>
      <c r="D202" s="352"/>
      <c r="E202" s="352"/>
      <c r="F202" s="352"/>
      <c r="G202" s="352"/>
      <c r="H202" s="352"/>
      <c r="I202" s="352"/>
      <c r="J202" s="352"/>
      <c r="K202" s="352"/>
    </row>
    <row r="203" spans="1:11" ht="20.25">
      <c r="A203" s="352"/>
      <c r="B203" s="352"/>
      <c r="C203" s="352"/>
      <c r="D203" s="352"/>
      <c r="E203" s="352"/>
      <c r="F203" s="352"/>
      <c r="G203" s="352"/>
      <c r="H203" s="352"/>
      <c r="I203" s="352"/>
      <c r="J203" s="352"/>
      <c r="K203" s="352"/>
    </row>
    <row r="204" spans="1:11" ht="20.25">
      <c r="A204" s="352"/>
      <c r="B204" s="352"/>
      <c r="C204" s="352"/>
      <c r="D204" s="352"/>
      <c r="E204" s="352"/>
      <c r="F204" s="352"/>
      <c r="G204" s="352"/>
      <c r="H204" s="352"/>
      <c r="I204" s="352"/>
      <c r="J204" s="352"/>
      <c r="K204" s="352"/>
    </row>
    <row r="205" spans="1:11" ht="20.25">
      <c r="A205" s="352"/>
      <c r="B205" s="352"/>
      <c r="C205" s="352"/>
      <c r="D205" s="352"/>
      <c r="E205" s="352"/>
      <c r="F205" s="352"/>
      <c r="G205" s="352"/>
      <c r="H205" s="352"/>
      <c r="I205" s="352"/>
      <c r="J205" s="352"/>
      <c r="K205" s="352"/>
    </row>
    <row r="206" spans="1:11" ht="20.25">
      <c r="A206" s="352"/>
      <c r="B206" s="352"/>
      <c r="C206" s="352"/>
      <c r="D206" s="352"/>
      <c r="E206" s="352"/>
      <c r="F206" s="352"/>
      <c r="G206" s="352"/>
      <c r="H206" s="352"/>
      <c r="I206" s="352"/>
      <c r="J206" s="352"/>
      <c r="K206" s="352"/>
    </row>
    <row r="207" spans="1:11" ht="20.25">
      <c r="A207" s="352"/>
      <c r="B207" s="352"/>
      <c r="C207" s="352"/>
      <c r="D207" s="352"/>
      <c r="E207" s="352"/>
      <c r="F207" s="352"/>
      <c r="G207" s="352"/>
      <c r="H207" s="352"/>
      <c r="I207" s="352"/>
      <c r="J207" s="352"/>
      <c r="K207" s="352"/>
    </row>
    <row r="208" spans="1:11" ht="20.25">
      <c r="A208" s="352"/>
      <c r="B208" s="352"/>
      <c r="C208" s="352"/>
      <c r="D208" s="352"/>
      <c r="E208" s="352"/>
      <c r="F208" s="352"/>
      <c r="G208" s="352"/>
      <c r="H208" s="352"/>
      <c r="I208" s="352"/>
      <c r="J208" s="352"/>
      <c r="K208" s="352"/>
    </row>
    <row r="209" spans="1:11" ht="20.25">
      <c r="A209" s="352"/>
      <c r="B209" s="352"/>
      <c r="C209" s="352"/>
      <c r="D209" s="352"/>
      <c r="E209" s="352"/>
      <c r="F209" s="352"/>
      <c r="G209" s="352"/>
      <c r="H209" s="352"/>
      <c r="I209" s="352"/>
      <c r="J209" s="352"/>
      <c r="K209" s="352"/>
    </row>
    <row r="210" spans="1:11" ht="20.25">
      <c r="A210" s="352"/>
      <c r="B210" s="352"/>
      <c r="C210" s="352"/>
      <c r="D210" s="352"/>
      <c r="E210" s="352"/>
      <c r="F210" s="352"/>
      <c r="G210" s="352"/>
      <c r="H210" s="352"/>
      <c r="I210" s="352"/>
      <c r="J210" s="352"/>
      <c r="K210" s="352"/>
    </row>
    <row r="211" spans="1:11" ht="20.25">
      <c r="A211" s="352"/>
      <c r="B211" s="352"/>
      <c r="C211" s="352"/>
      <c r="D211" s="352"/>
      <c r="E211" s="352"/>
      <c r="F211" s="352"/>
      <c r="G211" s="352"/>
      <c r="H211" s="352"/>
      <c r="I211" s="352"/>
      <c r="J211" s="352"/>
      <c r="K211" s="352"/>
    </row>
    <row r="212" spans="1:11" ht="20.25">
      <c r="A212" s="352"/>
      <c r="B212" s="352"/>
      <c r="C212" s="352"/>
      <c r="D212" s="352"/>
      <c r="E212" s="352"/>
      <c r="F212" s="352"/>
      <c r="G212" s="352"/>
      <c r="H212" s="352"/>
      <c r="I212" s="352"/>
      <c r="J212" s="352"/>
      <c r="K212" s="352"/>
    </row>
    <row r="213" spans="1:11" ht="20.25">
      <c r="A213" s="352"/>
      <c r="B213" s="352"/>
      <c r="C213" s="352"/>
      <c r="D213" s="352"/>
      <c r="E213" s="352"/>
      <c r="F213" s="352"/>
      <c r="G213" s="352"/>
      <c r="H213" s="352"/>
      <c r="I213" s="352"/>
      <c r="J213" s="352"/>
      <c r="K213" s="352"/>
    </row>
    <row r="214" spans="1:11" ht="20.25">
      <c r="A214" s="352"/>
      <c r="B214" s="352"/>
      <c r="C214" s="352"/>
      <c r="D214" s="352"/>
      <c r="E214" s="352"/>
      <c r="F214" s="352"/>
      <c r="G214" s="352"/>
      <c r="H214" s="352"/>
      <c r="I214" s="352"/>
      <c r="J214" s="352"/>
      <c r="K214" s="352"/>
    </row>
    <row r="215" spans="1:11" ht="20.25">
      <c r="A215" s="352"/>
      <c r="B215" s="352"/>
      <c r="C215" s="352"/>
      <c r="D215" s="352"/>
      <c r="E215" s="352"/>
      <c r="F215" s="352"/>
      <c r="G215" s="352"/>
      <c r="H215" s="352"/>
      <c r="I215" s="352"/>
      <c r="J215" s="352"/>
      <c r="K215" s="352"/>
    </row>
    <row r="216" spans="1:11" ht="20.25">
      <c r="A216" s="352"/>
      <c r="B216" s="352"/>
      <c r="C216" s="352"/>
      <c r="D216" s="352"/>
      <c r="E216" s="352"/>
      <c r="F216" s="352"/>
      <c r="G216" s="352"/>
      <c r="H216" s="352"/>
      <c r="I216" s="352"/>
      <c r="J216" s="352"/>
      <c r="K216" s="352"/>
    </row>
    <row r="217" spans="1:11" ht="20.25">
      <c r="A217" s="352"/>
      <c r="B217" s="352"/>
      <c r="C217" s="352"/>
      <c r="D217" s="352"/>
      <c r="E217" s="352"/>
      <c r="F217" s="352"/>
      <c r="G217" s="352"/>
      <c r="H217" s="352"/>
      <c r="I217" s="352"/>
      <c r="J217" s="352"/>
      <c r="K217" s="352"/>
    </row>
    <row r="218" spans="1:11" ht="20.25">
      <c r="A218" s="352"/>
      <c r="B218" s="352"/>
      <c r="C218" s="352"/>
      <c r="D218" s="352"/>
      <c r="E218" s="352"/>
      <c r="F218" s="352"/>
      <c r="G218" s="352"/>
      <c r="H218" s="352"/>
      <c r="I218" s="352"/>
      <c r="J218" s="352"/>
      <c r="K218" s="352"/>
    </row>
    <row r="219" spans="1:11" ht="20.25">
      <c r="A219" s="352"/>
      <c r="B219" s="352"/>
      <c r="C219" s="352"/>
      <c r="D219" s="352"/>
      <c r="E219" s="352"/>
      <c r="F219" s="352"/>
      <c r="G219" s="352"/>
      <c r="H219" s="352"/>
      <c r="I219" s="352"/>
      <c r="J219" s="352"/>
      <c r="K219" s="352"/>
    </row>
    <row r="220" spans="1:11" ht="20.25">
      <c r="A220" s="352"/>
      <c r="B220" s="352"/>
      <c r="C220" s="352"/>
      <c r="D220" s="352"/>
      <c r="E220" s="352"/>
      <c r="F220" s="352"/>
      <c r="G220" s="352"/>
      <c r="H220" s="352"/>
      <c r="I220" s="352"/>
      <c r="J220" s="352"/>
      <c r="K220" s="352"/>
    </row>
    <row r="221" spans="1:11" ht="20.25">
      <c r="A221" s="352"/>
      <c r="B221" s="352"/>
      <c r="C221" s="352"/>
      <c r="D221" s="352"/>
      <c r="E221" s="352"/>
      <c r="F221" s="352"/>
      <c r="G221" s="352"/>
      <c r="H221" s="352"/>
      <c r="I221" s="352"/>
      <c r="J221" s="352"/>
      <c r="K221" s="352"/>
    </row>
    <row r="222" spans="1:11" ht="20.25">
      <c r="A222" s="352"/>
      <c r="B222" s="352"/>
      <c r="C222" s="352"/>
      <c r="D222" s="352"/>
      <c r="E222" s="352"/>
      <c r="F222" s="352"/>
      <c r="G222" s="352"/>
      <c r="H222" s="352"/>
      <c r="I222" s="352"/>
      <c r="J222" s="352"/>
      <c r="K222" s="352"/>
    </row>
    <row r="223" spans="1:11" ht="20.25">
      <c r="A223" s="352"/>
      <c r="B223" s="352"/>
      <c r="C223" s="352"/>
      <c r="D223" s="352"/>
      <c r="E223" s="352"/>
      <c r="F223" s="352"/>
      <c r="G223" s="352"/>
      <c r="H223" s="352"/>
      <c r="I223" s="352"/>
      <c r="J223" s="352"/>
      <c r="K223" s="352"/>
    </row>
    <row r="224" spans="1:11" ht="20.25">
      <c r="A224" s="352"/>
      <c r="B224" s="352"/>
      <c r="C224" s="352"/>
      <c r="D224" s="352"/>
      <c r="E224" s="352"/>
      <c r="F224" s="352"/>
      <c r="G224" s="352"/>
      <c r="H224" s="352"/>
      <c r="I224" s="352"/>
      <c r="J224" s="352"/>
      <c r="K224" s="352"/>
    </row>
    <row r="225" spans="1:11" ht="20.25">
      <c r="A225" s="352"/>
      <c r="B225" s="352"/>
      <c r="C225" s="352"/>
      <c r="D225" s="352"/>
      <c r="E225" s="352"/>
      <c r="F225" s="352"/>
      <c r="G225" s="352"/>
      <c r="H225" s="352"/>
      <c r="I225" s="352"/>
      <c r="J225" s="352"/>
      <c r="K225" s="352"/>
    </row>
    <row r="226" spans="1:11" ht="20.25">
      <c r="A226" s="352"/>
      <c r="B226" s="352"/>
      <c r="C226" s="352"/>
      <c r="D226" s="352"/>
      <c r="E226" s="352"/>
      <c r="F226" s="352"/>
      <c r="G226" s="352"/>
      <c r="H226" s="352"/>
      <c r="I226" s="352"/>
      <c r="J226" s="352"/>
      <c r="K226" s="352"/>
    </row>
    <row r="227" spans="1:11" ht="20.25">
      <c r="A227" s="352"/>
      <c r="B227" s="352"/>
      <c r="C227" s="352"/>
      <c r="D227" s="352"/>
      <c r="E227" s="352"/>
      <c r="F227" s="352"/>
      <c r="G227" s="352"/>
      <c r="H227" s="352"/>
      <c r="I227" s="352"/>
      <c r="J227" s="352"/>
      <c r="K227" s="352"/>
    </row>
    <row r="228" spans="1:11" ht="20.25">
      <c r="A228" s="352"/>
      <c r="B228" s="352"/>
      <c r="C228" s="352"/>
      <c r="D228" s="352"/>
      <c r="E228" s="352"/>
      <c r="F228" s="352"/>
      <c r="G228" s="352"/>
      <c r="H228" s="352"/>
      <c r="I228" s="352"/>
      <c r="J228" s="352"/>
      <c r="K228" s="352"/>
    </row>
    <row r="229" spans="1:11" ht="20.25">
      <c r="A229" s="352"/>
      <c r="B229" s="352"/>
      <c r="C229" s="352"/>
      <c r="D229" s="352"/>
      <c r="E229" s="352"/>
      <c r="F229" s="352"/>
      <c r="G229" s="352"/>
      <c r="H229" s="352"/>
      <c r="I229" s="352"/>
      <c r="J229" s="352"/>
      <c r="K229" s="352"/>
    </row>
    <row r="230" spans="1:11" ht="20.25">
      <c r="A230" s="352"/>
      <c r="B230" s="352"/>
      <c r="C230" s="352"/>
      <c r="D230" s="352"/>
      <c r="E230" s="352"/>
      <c r="F230" s="352"/>
      <c r="G230" s="352"/>
      <c r="H230" s="352"/>
      <c r="I230" s="352"/>
      <c r="J230" s="352"/>
      <c r="K230" s="352"/>
    </row>
    <row r="231" spans="1:11" ht="20.25">
      <c r="A231" s="352"/>
      <c r="B231" s="352"/>
      <c r="C231" s="352"/>
      <c r="D231" s="352"/>
      <c r="E231" s="352"/>
      <c r="F231" s="352"/>
      <c r="G231" s="352"/>
      <c r="H231" s="352"/>
      <c r="I231" s="352"/>
      <c r="J231" s="352"/>
      <c r="K231" s="352"/>
    </row>
    <row r="232" spans="1:11" ht="20.25">
      <c r="A232" s="352"/>
      <c r="B232" s="352"/>
      <c r="C232" s="352"/>
      <c r="D232" s="352"/>
      <c r="E232" s="352"/>
      <c r="F232" s="352"/>
      <c r="G232" s="352"/>
      <c r="H232" s="352"/>
      <c r="I232" s="352"/>
      <c r="J232" s="352"/>
      <c r="K232" s="352"/>
    </row>
    <row r="233" spans="1:11" ht="20.25">
      <c r="A233" s="352"/>
      <c r="B233" s="352"/>
      <c r="C233" s="352"/>
      <c r="D233" s="352"/>
      <c r="E233" s="352"/>
      <c r="F233" s="352"/>
      <c r="G233" s="352"/>
      <c r="H233" s="352"/>
      <c r="I233" s="352"/>
      <c r="J233" s="352"/>
      <c r="K233" s="352"/>
    </row>
    <row r="234" spans="1:11" ht="20.25">
      <c r="A234" s="352"/>
      <c r="B234" s="352"/>
      <c r="C234" s="352"/>
      <c r="D234" s="352"/>
      <c r="E234" s="352"/>
      <c r="F234" s="352"/>
      <c r="G234" s="352"/>
      <c r="H234" s="352"/>
      <c r="I234" s="352"/>
      <c r="J234" s="352"/>
      <c r="K234" s="352"/>
    </row>
    <row r="235" spans="1:11" ht="20.25">
      <c r="A235" s="352"/>
      <c r="B235" s="352"/>
      <c r="C235" s="352"/>
      <c r="D235" s="352"/>
      <c r="E235" s="352"/>
      <c r="F235" s="352"/>
      <c r="G235" s="352"/>
      <c r="H235" s="352"/>
      <c r="I235" s="352"/>
      <c r="J235" s="352"/>
      <c r="K235" s="352"/>
    </row>
    <row r="236" spans="1:11" ht="20.25">
      <c r="A236" s="352"/>
      <c r="B236" s="352"/>
      <c r="C236" s="352"/>
      <c r="D236" s="352"/>
      <c r="E236" s="352"/>
      <c r="F236" s="352"/>
      <c r="G236" s="352"/>
      <c r="H236" s="352"/>
      <c r="I236" s="352"/>
      <c r="J236" s="352"/>
      <c r="K236" s="352"/>
    </row>
    <row r="237" spans="1:11" ht="20.25">
      <c r="A237" s="352"/>
      <c r="B237" s="352"/>
      <c r="C237" s="352"/>
      <c r="D237" s="352"/>
      <c r="E237" s="352"/>
      <c r="F237" s="352"/>
      <c r="G237" s="352"/>
      <c r="H237" s="352"/>
      <c r="I237" s="352"/>
      <c r="J237" s="352"/>
      <c r="K237" s="352"/>
    </row>
    <row r="238" spans="1:11" ht="20.25">
      <c r="A238" s="352"/>
      <c r="B238" s="352"/>
      <c r="C238" s="352"/>
      <c r="D238" s="352"/>
      <c r="E238" s="352"/>
      <c r="F238" s="352"/>
      <c r="G238" s="352"/>
      <c r="H238" s="352"/>
      <c r="I238" s="352"/>
      <c r="J238" s="352"/>
      <c r="K238" s="352"/>
    </row>
    <row r="239" spans="1:11" ht="20.25">
      <c r="A239" s="352"/>
      <c r="B239" s="352"/>
      <c r="C239" s="352"/>
      <c r="D239" s="352"/>
      <c r="E239" s="352"/>
      <c r="F239" s="352"/>
      <c r="G239" s="352"/>
      <c r="H239" s="352"/>
      <c r="I239" s="352"/>
      <c r="J239" s="352"/>
      <c r="K239" s="352"/>
    </row>
    <row r="240" spans="1:11" ht="20.25">
      <c r="A240" s="352"/>
      <c r="B240" s="352"/>
      <c r="C240" s="352"/>
      <c r="D240" s="352"/>
      <c r="E240" s="352"/>
      <c r="F240" s="352"/>
      <c r="G240" s="352"/>
      <c r="H240" s="352"/>
      <c r="I240" s="352"/>
      <c r="J240" s="352"/>
      <c r="K240" s="352"/>
    </row>
    <row r="241" spans="1:11" ht="20.25">
      <c r="A241" s="352"/>
      <c r="B241" s="352"/>
      <c r="C241" s="352"/>
      <c r="D241" s="352"/>
      <c r="E241" s="352"/>
      <c r="F241" s="352"/>
      <c r="G241" s="352"/>
      <c r="H241" s="352"/>
      <c r="I241" s="352"/>
      <c r="J241" s="352"/>
      <c r="K241" s="352"/>
    </row>
    <row r="242" spans="1:11" ht="20.25">
      <c r="A242" s="352"/>
      <c r="B242" s="352"/>
      <c r="C242" s="352"/>
      <c r="D242" s="352"/>
      <c r="E242" s="352"/>
      <c r="F242" s="352"/>
      <c r="G242" s="352"/>
      <c r="H242" s="352"/>
      <c r="I242" s="352"/>
      <c r="J242" s="352"/>
      <c r="K242" s="352"/>
    </row>
    <row r="243" spans="1:11" ht="20.25">
      <c r="A243" s="352"/>
      <c r="B243" s="352"/>
      <c r="C243" s="352"/>
      <c r="D243" s="352"/>
      <c r="E243" s="352"/>
      <c r="F243" s="352"/>
      <c r="G243" s="352"/>
      <c r="H243" s="352"/>
      <c r="I243" s="352"/>
      <c r="J243" s="352"/>
      <c r="K243" s="352"/>
    </row>
    <row r="244" spans="1:11" ht="20.25">
      <c r="A244" s="352"/>
      <c r="B244" s="352"/>
      <c r="C244" s="352"/>
      <c r="D244" s="352"/>
      <c r="E244" s="352"/>
      <c r="F244" s="352"/>
      <c r="G244" s="352"/>
      <c r="H244" s="352"/>
      <c r="I244" s="352"/>
      <c r="J244" s="352"/>
      <c r="K244" s="352"/>
    </row>
    <row r="245" spans="1:11" ht="20.25">
      <c r="A245" s="352"/>
      <c r="B245" s="352"/>
      <c r="C245" s="352"/>
      <c r="D245" s="352"/>
      <c r="E245" s="352"/>
      <c r="F245" s="352"/>
      <c r="G245" s="352"/>
      <c r="H245" s="352"/>
      <c r="I245" s="352"/>
      <c r="J245" s="352"/>
      <c r="K245" s="352"/>
    </row>
    <row r="246" spans="1:11" ht="20.25">
      <c r="A246" s="352"/>
      <c r="B246" s="352"/>
      <c r="C246" s="352"/>
      <c r="D246" s="352"/>
      <c r="E246" s="352"/>
      <c r="F246" s="352"/>
      <c r="G246" s="352"/>
      <c r="H246" s="352"/>
      <c r="I246" s="352"/>
      <c r="J246" s="352"/>
      <c r="K246" s="352"/>
    </row>
    <row r="247" spans="1:11" ht="20.25">
      <c r="A247" s="352"/>
      <c r="B247" s="352"/>
      <c r="C247" s="352"/>
      <c r="D247" s="352"/>
      <c r="E247" s="352"/>
      <c r="F247" s="352"/>
      <c r="G247" s="352"/>
      <c r="H247" s="352"/>
      <c r="I247" s="352"/>
      <c r="J247" s="352"/>
      <c r="K247" s="352"/>
    </row>
    <row r="248" spans="1:11" ht="20.25">
      <c r="A248" s="352"/>
      <c r="B248" s="352"/>
      <c r="C248" s="352"/>
      <c r="D248" s="352"/>
      <c r="E248" s="352"/>
      <c r="F248" s="352"/>
      <c r="G248" s="352"/>
      <c r="H248" s="352"/>
      <c r="I248" s="352"/>
      <c r="J248" s="352"/>
      <c r="K248" s="352"/>
    </row>
    <row r="249" spans="1:11" ht="20.25">
      <c r="A249" s="352"/>
      <c r="B249" s="352"/>
      <c r="C249" s="352"/>
      <c r="D249" s="352"/>
      <c r="E249" s="352"/>
      <c r="F249" s="352"/>
      <c r="G249" s="352"/>
      <c r="H249" s="352"/>
      <c r="I249" s="352"/>
      <c r="J249" s="352"/>
      <c r="K249" s="352"/>
    </row>
    <row r="250" spans="1:11" ht="20.25">
      <c r="A250" s="352"/>
      <c r="B250" s="352"/>
      <c r="C250" s="352"/>
      <c r="D250" s="352"/>
      <c r="E250" s="352"/>
      <c r="F250" s="352"/>
      <c r="G250" s="352"/>
      <c r="H250" s="352"/>
      <c r="I250" s="352"/>
      <c r="J250" s="352"/>
      <c r="K250" s="352"/>
    </row>
    <row r="251" spans="1:11" ht="20.25">
      <c r="A251" s="352"/>
      <c r="B251" s="352"/>
      <c r="C251" s="352"/>
      <c r="D251" s="352"/>
      <c r="E251" s="352"/>
      <c r="F251" s="352"/>
      <c r="G251" s="352"/>
      <c r="H251" s="352"/>
      <c r="I251" s="352"/>
      <c r="J251" s="352"/>
      <c r="K251" s="352"/>
    </row>
    <row r="252" spans="1:11" ht="20.25">
      <c r="A252" s="352"/>
      <c r="B252" s="352"/>
      <c r="C252" s="352"/>
      <c r="D252" s="352"/>
      <c r="E252" s="352"/>
      <c r="F252" s="352"/>
      <c r="G252" s="352"/>
      <c r="H252" s="352"/>
      <c r="I252" s="352"/>
      <c r="J252" s="352"/>
      <c r="K252" s="352"/>
    </row>
    <row r="253" spans="1:11" ht="20.25">
      <c r="A253" s="352"/>
      <c r="B253" s="352"/>
      <c r="C253" s="352"/>
      <c r="D253" s="352"/>
      <c r="E253" s="352"/>
      <c r="F253" s="352"/>
      <c r="G253" s="352"/>
      <c r="H253" s="352"/>
      <c r="I253" s="352"/>
      <c r="J253" s="352"/>
      <c r="K253" s="352"/>
    </row>
    <row r="254" spans="1:11" ht="20.25">
      <c r="A254" s="352"/>
      <c r="B254" s="352"/>
      <c r="C254" s="352"/>
      <c r="D254" s="352"/>
      <c r="E254" s="352"/>
      <c r="F254" s="352"/>
      <c r="G254" s="352"/>
      <c r="H254" s="352"/>
      <c r="I254" s="352"/>
      <c r="J254" s="352"/>
      <c r="K254" s="352"/>
    </row>
    <row r="255" spans="1:11" ht="20.25">
      <c r="A255" s="352"/>
      <c r="B255" s="352"/>
      <c r="C255" s="352"/>
      <c r="D255" s="352"/>
      <c r="E255" s="352"/>
      <c r="F255" s="352"/>
      <c r="G255" s="352"/>
      <c r="H255" s="352"/>
      <c r="I255" s="352"/>
      <c r="J255" s="352"/>
      <c r="K255" s="352"/>
    </row>
    <row r="256" spans="1:11" ht="20.25">
      <c r="A256" s="352"/>
      <c r="B256" s="352"/>
      <c r="C256" s="352"/>
      <c r="D256" s="352"/>
      <c r="E256" s="352"/>
      <c r="F256" s="352"/>
      <c r="G256" s="352"/>
      <c r="H256" s="352"/>
      <c r="I256" s="352"/>
      <c r="J256" s="352"/>
      <c r="K256" s="352"/>
    </row>
    <row r="257" spans="1:11" ht="20.25">
      <c r="A257" s="352"/>
      <c r="B257" s="352"/>
      <c r="C257" s="352"/>
      <c r="D257" s="352"/>
      <c r="E257" s="352"/>
      <c r="F257" s="352"/>
      <c r="G257" s="352"/>
      <c r="H257" s="352"/>
      <c r="I257" s="352"/>
      <c r="J257" s="352"/>
      <c r="K257" s="352"/>
    </row>
    <row r="258" spans="1:11" ht="20.25">
      <c r="A258" s="352"/>
      <c r="B258" s="352"/>
      <c r="C258" s="352"/>
      <c r="D258" s="352"/>
      <c r="E258" s="352"/>
      <c r="F258" s="352"/>
      <c r="G258" s="352"/>
      <c r="H258" s="352"/>
      <c r="I258" s="352"/>
      <c r="J258" s="352"/>
      <c r="K258" s="352"/>
    </row>
    <row r="259" spans="1:11" ht="20.25">
      <c r="A259" s="352"/>
      <c r="B259" s="352"/>
      <c r="C259" s="352"/>
      <c r="D259" s="352"/>
      <c r="E259" s="352"/>
      <c r="F259" s="352"/>
      <c r="G259" s="352"/>
      <c r="H259" s="352"/>
      <c r="I259" s="352"/>
      <c r="J259" s="352"/>
      <c r="K259" s="352"/>
    </row>
    <row r="260" spans="1:11" ht="20.25">
      <c r="A260" s="352"/>
      <c r="B260" s="352"/>
      <c r="C260" s="352"/>
      <c r="D260" s="352"/>
      <c r="E260" s="352"/>
      <c r="F260" s="352"/>
      <c r="G260" s="352"/>
      <c r="H260" s="352"/>
      <c r="I260" s="352"/>
      <c r="J260" s="352"/>
      <c r="K260" s="352"/>
    </row>
    <row r="261" spans="1:11" ht="20.25">
      <c r="A261" s="352"/>
      <c r="B261" s="352"/>
      <c r="C261" s="352"/>
      <c r="D261" s="352"/>
      <c r="E261" s="352"/>
      <c r="F261" s="352"/>
      <c r="G261" s="352"/>
      <c r="H261" s="352"/>
      <c r="I261" s="352"/>
      <c r="J261" s="352"/>
      <c r="K261" s="352"/>
    </row>
    <row r="262" spans="1:11" ht="20.25">
      <c r="A262" s="352"/>
      <c r="B262" s="352"/>
      <c r="C262" s="352"/>
      <c r="D262" s="352"/>
      <c r="E262" s="352"/>
      <c r="F262" s="352"/>
      <c r="G262" s="352"/>
      <c r="H262" s="352"/>
      <c r="I262" s="352"/>
      <c r="J262" s="352"/>
      <c r="K262" s="352"/>
    </row>
    <row r="263" spans="1:11" ht="20.25">
      <c r="A263" s="352"/>
      <c r="B263" s="352"/>
      <c r="C263" s="352"/>
      <c r="D263" s="352"/>
      <c r="E263" s="352"/>
      <c r="F263" s="352"/>
      <c r="G263" s="352"/>
      <c r="H263" s="352"/>
      <c r="I263" s="352"/>
      <c r="J263" s="352"/>
      <c r="K263" s="352"/>
    </row>
    <row r="264" spans="1:11" ht="20.25">
      <c r="A264" s="352"/>
      <c r="B264" s="352"/>
      <c r="C264" s="352"/>
      <c r="D264" s="352"/>
      <c r="E264" s="352"/>
      <c r="F264" s="352"/>
      <c r="G264" s="352"/>
      <c r="H264" s="352"/>
      <c r="I264" s="352"/>
      <c r="J264" s="352"/>
      <c r="K264" s="352"/>
    </row>
    <row r="265" spans="1:11" ht="20.25">
      <c r="A265" s="352"/>
      <c r="B265" s="352"/>
      <c r="C265" s="352"/>
      <c r="D265" s="352"/>
      <c r="E265" s="352"/>
      <c r="F265" s="352"/>
      <c r="G265" s="352"/>
      <c r="H265" s="352"/>
      <c r="I265" s="352"/>
      <c r="J265" s="352"/>
      <c r="K265" s="352"/>
    </row>
    <row r="266" spans="1:11" ht="20.25">
      <c r="A266" s="352"/>
      <c r="B266" s="352"/>
      <c r="C266" s="352"/>
      <c r="D266" s="352"/>
      <c r="E266" s="352"/>
      <c r="F266" s="352"/>
      <c r="G266" s="352"/>
      <c r="H266" s="352"/>
      <c r="I266" s="352"/>
      <c r="J266" s="352"/>
      <c r="K266" s="352"/>
    </row>
    <row r="267" spans="1:11" ht="20.25">
      <c r="A267" s="352"/>
      <c r="B267" s="352"/>
      <c r="C267" s="352"/>
      <c r="D267" s="352"/>
      <c r="E267" s="352"/>
      <c r="F267" s="352"/>
      <c r="G267" s="352"/>
      <c r="H267" s="352"/>
      <c r="I267" s="352"/>
      <c r="J267" s="352"/>
      <c r="K267" s="352"/>
    </row>
    <row r="268" spans="1:11" ht="20.25">
      <c r="A268" s="352"/>
      <c r="B268" s="352"/>
      <c r="C268" s="352"/>
      <c r="D268" s="352"/>
      <c r="E268" s="352"/>
      <c r="F268" s="352"/>
      <c r="G268" s="352"/>
      <c r="H268" s="352"/>
      <c r="I268" s="352"/>
      <c r="J268" s="352"/>
      <c r="K268" s="352"/>
    </row>
    <row r="269" spans="1:11" ht="20.25">
      <c r="A269" s="352"/>
      <c r="B269" s="352"/>
      <c r="C269" s="352"/>
      <c r="D269" s="352"/>
      <c r="E269" s="352"/>
      <c r="F269" s="352"/>
      <c r="G269" s="352"/>
      <c r="H269" s="352"/>
      <c r="I269" s="352"/>
      <c r="J269" s="352"/>
      <c r="K269" s="352"/>
    </row>
    <row r="270" spans="1:11" ht="20.25">
      <c r="A270" s="352"/>
      <c r="B270" s="352"/>
      <c r="C270" s="352"/>
      <c r="D270" s="352"/>
      <c r="E270" s="352"/>
      <c r="F270" s="352"/>
      <c r="G270" s="352"/>
      <c r="H270" s="352"/>
      <c r="I270" s="352"/>
      <c r="J270" s="352"/>
      <c r="K270" s="352"/>
    </row>
    <row r="271" spans="1:11" ht="20.25">
      <c r="A271" s="352"/>
      <c r="B271" s="352"/>
      <c r="C271" s="352"/>
      <c r="D271" s="352"/>
      <c r="E271" s="352"/>
      <c r="F271" s="352"/>
      <c r="G271" s="352"/>
      <c r="H271" s="352"/>
      <c r="I271" s="352"/>
      <c r="J271" s="352"/>
      <c r="K271" s="352"/>
    </row>
    <row r="272" spans="1:11" ht="20.25">
      <c r="A272" s="352"/>
      <c r="B272" s="352"/>
      <c r="C272" s="352"/>
      <c r="D272" s="352"/>
      <c r="E272" s="352"/>
      <c r="F272" s="352"/>
      <c r="G272" s="352"/>
      <c r="H272" s="352"/>
      <c r="I272" s="352"/>
      <c r="J272" s="352"/>
      <c r="K272" s="352"/>
    </row>
    <row r="273" spans="1:11" ht="20.25">
      <c r="A273" s="352"/>
      <c r="B273" s="352"/>
      <c r="C273" s="352"/>
      <c r="D273" s="352"/>
      <c r="E273" s="352"/>
      <c r="F273" s="352"/>
      <c r="G273" s="352"/>
      <c r="H273" s="352"/>
      <c r="I273" s="352"/>
      <c r="J273" s="352"/>
      <c r="K273" s="352"/>
    </row>
    <row r="274" spans="1:11" ht="20.25">
      <c r="A274" s="352"/>
      <c r="B274" s="352"/>
      <c r="C274" s="352"/>
      <c r="D274" s="352"/>
      <c r="E274" s="352"/>
      <c r="F274" s="352"/>
      <c r="G274" s="352"/>
      <c r="H274" s="352"/>
      <c r="I274" s="352"/>
      <c r="J274" s="352"/>
      <c r="K274" s="352"/>
    </row>
    <row r="275" spans="1:11" ht="20.25">
      <c r="A275" s="352"/>
      <c r="B275" s="352"/>
      <c r="C275" s="352"/>
      <c r="D275" s="352"/>
      <c r="E275" s="352"/>
      <c r="F275" s="352"/>
      <c r="G275" s="352"/>
      <c r="H275" s="352"/>
      <c r="I275" s="352"/>
      <c r="J275" s="352"/>
      <c r="K275" s="352"/>
    </row>
    <row r="276" spans="1:11" ht="20.25">
      <c r="A276" s="352"/>
      <c r="B276" s="352"/>
      <c r="C276" s="352"/>
      <c r="D276" s="352"/>
      <c r="E276" s="352"/>
      <c r="F276" s="352"/>
      <c r="G276" s="352"/>
      <c r="H276" s="352"/>
      <c r="I276" s="352"/>
      <c r="J276" s="352"/>
      <c r="K276" s="352"/>
    </row>
    <row r="277" spans="1:11" ht="20.25">
      <c r="A277" s="352"/>
      <c r="B277" s="352"/>
      <c r="C277" s="352"/>
      <c r="D277" s="352"/>
      <c r="E277" s="352"/>
      <c r="F277" s="352"/>
      <c r="G277" s="352"/>
      <c r="H277" s="352"/>
      <c r="I277" s="352"/>
      <c r="J277" s="352"/>
      <c r="K277" s="352"/>
    </row>
    <row r="278" spans="1:11" ht="20.25">
      <c r="A278" s="352"/>
      <c r="B278" s="352"/>
      <c r="C278" s="352"/>
      <c r="D278" s="352"/>
      <c r="E278" s="352"/>
      <c r="F278" s="352"/>
      <c r="G278" s="352"/>
      <c r="H278" s="352"/>
      <c r="I278" s="352"/>
      <c r="J278" s="352"/>
      <c r="K278" s="352"/>
    </row>
    <row r="279" spans="1:11" ht="20.25">
      <c r="A279" s="352"/>
      <c r="B279" s="352"/>
      <c r="C279" s="352"/>
      <c r="D279" s="352"/>
      <c r="E279" s="352"/>
      <c r="F279" s="352"/>
      <c r="G279" s="352"/>
      <c r="H279" s="352"/>
      <c r="I279" s="352"/>
      <c r="J279" s="352"/>
      <c r="K279" s="352"/>
    </row>
    <row r="280" spans="1:11" ht="20.25">
      <c r="A280" s="352"/>
      <c r="B280" s="352"/>
      <c r="C280" s="352"/>
      <c r="D280" s="352"/>
      <c r="E280" s="352"/>
      <c r="F280" s="352"/>
      <c r="G280" s="352"/>
      <c r="H280" s="352"/>
      <c r="I280" s="352"/>
      <c r="J280" s="352"/>
      <c r="K280" s="352"/>
    </row>
    <row r="281" spans="1:11" ht="20.25">
      <c r="A281" s="352"/>
      <c r="B281" s="352"/>
      <c r="C281" s="352"/>
      <c r="D281" s="352"/>
      <c r="E281" s="352"/>
      <c r="F281" s="352"/>
      <c r="G281" s="352"/>
      <c r="H281" s="352"/>
      <c r="I281" s="352"/>
      <c r="J281" s="352"/>
      <c r="K281" s="352"/>
    </row>
    <row r="282" spans="1:11" ht="20.25">
      <c r="A282" s="352"/>
      <c r="B282" s="352"/>
      <c r="C282" s="352"/>
      <c r="D282" s="352"/>
      <c r="E282" s="352"/>
      <c r="F282" s="352"/>
      <c r="G282" s="352"/>
      <c r="H282" s="352"/>
      <c r="I282" s="352"/>
      <c r="J282" s="352"/>
      <c r="K282" s="352"/>
    </row>
    <row r="283" spans="1:11" ht="20.25">
      <c r="A283" s="352"/>
      <c r="B283" s="352"/>
      <c r="C283" s="352"/>
      <c r="D283" s="352"/>
      <c r="E283" s="352"/>
      <c r="F283" s="352"/>
      <c r="G283" s="352"/>
      <c r="H283" s="352"/>
      <c r="I283" s="352"/>
      <c r="J283" s="352"/>
      <c r="K283" s="352"/>
    </row>
    <row r="284" spans="1:11" ht="20.25">
      <c r="A284" s="352"/>
      <c r="B284" s="352"/>
      <c r="C284" s="352"/>
      <c r="D284" s="352"/>
      <c r="E284" s="352"/>
      <c r="F284" s="352"/>
      <c r="G284" s="352"/>
      <c r="H284" s="352"/>
      <c r="I284" s="352"/>
      <c r="J284" s="352"/>
      <c r="K284" s="352"/>
    </row>
    <row r="285" spans="1:11" ht="20.25">
      <c r="A285" s="352"/>
      <c r="B285" s="352"/>
      <c r="C285" s="352"/>
      <c r="D285" s="352"/>
      <c r="E285" s="352"/>
      <c r="F285" s="352"/>
      <c r="G285" s="352"/>
      <c r="H285" s="352"/>
      <c r="I285" s="352"/>
      <c r="J285" s="352"/>
      <c r="K285" s="352"/>
    </row>
    <row r="286" spans="1:11" ht="20.25">
      <c r="A286" s="352"/>
      <c r="B286" s="352"/>
      <c r="C286" s="352"/>
      <c r="D286" s="352"/>
      <c r="E286" s="352"/>
      <c r="F286" s="352"/>
      <c r="G286" s="352"/>
      <c r="H286" s="352"/>
      <c r="I286" s="352"/>
      <c r="J286" s="352"/>
      <c r="K286" s="352"/>
    </row>
    <row r="287" spans="1:11" ht="20.25">
      <c r="A287" s="352"/>
      <c r="B287" s="352"/>
      <c r="C287" s="352"/>
      <c r="D287" s="352"/>
      <c r="E287" s="352"/>
      <c r="F287" s="352"/>
      <c r="G287" s="352"/>
      <c r="H287" s="352"/>
      <c r="I287" s="352"/>
      <c r="J287" s="352"/>
      <c r="K287" s="352"/>
    </row>
    <row r="288" spans="1:11" ht="20.25">
      <c r="A288" s="352"/>
      <c r="B288" s="352"/>
      <c r="C288" s="352"/>
      <c r="D288" s="352"/>
      <c r="E288" s="352"/>
      <c r="F288" s="352"/>
      <c r="G288" s="352"/>
      <c r="H288" s="352"/>
      <c r="I288" s="352"/>
      <c r="J288" s="352"/>
      <c r="K288" s="352"/>
    </row>
    <row r="289" spans="1:11" ht="20.25">
      <c r="A289" s="352"/>
      <c r="B289" s="352"/>
      <c r="C289" s="352"/>
      <c r="D289" s="352"/>
      <c r="E289" s="352"/>
      <c r="F289" s="352"/>
      <c r="G289" s="352"/>
      <c r="H289" s="352"/>
      <c r="I289" s="352"/>
      <c r="J289" s="352"/>
      <c r="K289" s="352"/>
    </row>
    <row r="290" spans="1:11" ht="20.25">
      <c r="A290" s="352"/>
      <c r="B290" s="352"/>
      <c r="C290" s="352"/>
      <c r="D290" s="352"/>
      <c r="E290" s="352"/>
      <c r="F290" s="352"/>
      <c r="G290" s="352"/>
      <c r="H290" s="352"/>
      <c r="I290" s="352"/>
      <c r="J290" s="352"/>
      <c r="K290" s="352"/>
    </row>
    <row r="291" spans="1:11" ht="20.25">
      <c r="A291" s="352"/>
      <c r="B291" s="352"/>
      <c r="C291" s="352"/>
      <c r="D291" s="352"/>
      <c r="E291" s="352"/>
      <c r="F291" s="352"/>
      <c r="G291" s="352"/>
      <c r="H291" s="352"/>
      <c r="I291" s="352"/>
      <c r="J291" s="352"/>
      <c r="K291" s="352"/>
    </row>
    <row r="292" spans="1:11" ht="20.25">
      <c r="A292" s="352"/>
      <c r="B292" s="352"/>
      <c r="C292" s="352"/>
      <c r="D292" s="352"/>
      <c r="E292" s="352"/>
      <c r="F292" s="352"/>
      <c r="G292" s="352"/>
      <c r="H292" s="352"/>
      <c r="I292" s="352"/>
      <c r="J292" s="352"/>
      <c r="K292" s="352"/>
    </row>
    <row r="293" spans="1:11" ht="20.25">
      <c r="A293" s="352"/>
      <c r="B293" s="352"/>
      <c r="C293" s="352"/>
      <c r="D293" s="352"/>
      <c r="E293" s="352"/>
      <c r="F293" s="352"/>
      <c r="G293" s="352"/>
      <c r="H293" s="352"/>
      <c r="I293" s="352"/>
      <c r="J293" s="352"/>
      <c r="K293" s="352"/>
    </row>
    <row r="294" spans="1:11" ht="20.25">
      <c r="A294" s="352"/>
      <c r="B294" s="352"/>
      <c r="C294" s="352"/>
      <c r="D294" s="352"/>
      <c r="E294" s="352"/>
      <c r="F294" s="352"/>
      <c r="G294" s="352"/>
      <c r="H294" s="352"/>
      <c r="I294" s="352"/>
      <c r="J294" s="352"/>
      <c r="K294" s="352"/>
    </row>
    <row r="295" spans="1:11" ht="20.25">
      <c r="A295" s="352"/>
      <c r="B295" s="352"/>
      <c r="C295" s="352"/>
      <c r="D295" s="352"/>
      <c r="E295" s="352"/>
      <c r="F295" s="352"/>
      <c r="G295" s="352"/>
      <c r="H295" s="352"/>
      <c r="I295" s="352"/>
      <c r="J295" s="352"/>
      <c r="K295" s="352"/>
    </row>
    <row r="296" spans="1:11" ht="20.25">
      <c r="A296" s="352"/>
      <c r="B296" s="352"/>
      <c r="C296" s="352"/>
      <c r="D296" s="352"/>
      <c r="E296" s="352"/>
      <c r="F296" s="352"/>
      <c r="G296" s="352"/>
      <c r="H296" s="352"/>
      <c r="I296" s="352"/>
      <c r="J296" s="352"/>
      <c r="K296" s="352"/>
    </row>
    <row r="297" spans="1:11" ht="20.25">
      <c r="A297" s="352"/>
      <c r="B297" s="352"/>
      <c r="C297" s="352"/>
      <c r="D297" s="352"/>
      <c r="E297" s="352"/>
      <c r="F297" s="352"/>
      <c r="G297" s="352"/>
      <c r="H297" s="352"/>
      <c r="I297" s="352"/>
      <c r="J297" s="352"/>
      <c r="K297" s="352"/>
    </row>
    <row r="298" spans="1:11" ht="20.25">
      <c r="A298" s="352"/>
      <c r="B298" s="352"/>
      <c r="C298" s="352"/>
      <c r="D298" s="352"/>
      <c r="E298" s="352"/>
      <c r="F298" s="352"/>
      <c r="G298" s="352"/>
      <c r="H298" s="352"/>
      <c r="I298" s="352"/>
      <c r="J298" s="352"/>
      <c r="K298" s="352"/>
    </row>
    <row r="299" spans="1:11" ht="20.25">
      <c r="A299" s="352"/>
      <c r="B299" s="352"/>
      <c r="C299" s="352"/>
      <c r="D299" s="352"/>
      <c r="E299" s="352"/>
      <c r="F299" s="352"/>
      <c r="G299" s="352"/>
      <c r="H299" s="352"/>
      <c r="I299" s="352"/>
      <c r="J299" s="352"/>
      <c r="K299" s="352"/>
    </row>
    <row r="300" spans="1:11" ht="20.25">
      <c r="A300" s="352"/>
      <c r="B300" s="352"/>
      <c r="C300" s="352"/>
      <c r="D300" s="352"/>
      <c r="E300" s="352"/>
      <c r="F300" s="352"/>
      <c r="G300" s="352"/>
      <c r="H300" s="352"/>
      <c r="I300" s="352"/>
      <c r="J300" s="352"/>
      <c r="K300" s="352"/>
    </row>
    <row r="301" spans="1:11" ht="20.25">
      <c r="A301" s="352"/>
      <c r="B301" s="352"/>
      <c r="C301" s="352"/>
      <c r="D301" s="352"/>
      <c r="E301" s="352"/>
      <c r="F301" s="352"/>
      <c r="G301" s="352"/>
      <c r="H301" s="352"/>
      <c r="I301" s="352"/>
      <c r="J301" s="352"/>
      <c r="K301" s="352"/>
    </row>
    <row r="302" spans="1:11" ht="20.25">
      <c r="A302" s="352"/>
      <c r="B302" s="352"/>
      <c r="C302" s="352"/>
      <c r="D302" s="352"/>
      <c r="E302" s="352"/>
      <c r="F302" s="352"/>
      <c r="G302" s="352"/>
      <c r="H302" s="352"/>
      <c r="I302" s="352"/>
      <c r="J302" s="352"/>
      <c r="K302" s="352"/>
    </row>
    <row r="303" spans="1:11" ht="20.25">
      <c r="A303" s="352"/>
      <c r="B303" s="352"/>
      <c r="C303" s="352"/>
      <c r="D303" s="352"/>
      <c r="E303" s="352"/>
      <c r="F303" s="352"/>
      <c r="G303" s="352"/>
      <c r="H303" s="352"/>
      <c r="I303" s="352"/>
      <c r="J303" s="352"/>
      <c r="K303" s="352"/>
    </row>
    <row r="304" spans="1:11" ht="20.25">
      <c r="A304" s="352"/>
      <c r="B304" s="352"/>
      <c r="C304" s="352"/>
      <c r="D304" s="352"/>
      <c r="E304" s="352"/>
      <c r="F304" s="352"/>
      <c r="G304" s="352"/>
      <c r="H304" s="352"/>
      <c r="I304" s="352"/>
      <c r="J304" s="352"/>
      <c r="K304" s="352"/>
    </row>
    <row r="305" spans="1:11" ht="20.25">
      <c r="A305" s="352"/>
      <c r="B305" s="352"/>
      <c r="C305" s="352"/>
      <c r="D305" s="352"/>
      <c r="E305" s="352"/>
      <c r="F305" s="352"/>
      <c r="G305" s="352"/>
      <c r="H305" s="352"/>
      <c r="I305" s="352"/>
      <c r="J305" s="352"/>
      <c r="K305" s="352"/>
    </row>
    <row r="306" spans="1:11" ht="20.25">
      <c r="A306" s="352"/>
      <c r="B306" s="352"/>
      <c r="C306" s="352"/>
      <c r="D306" s="352"/>
      <c r="E306" s="352"/>
      <c r="F306" s="352"/>
      <c r="G306" s="352"/>
      <c r="H306" s="352"/>
      <c r="I306" s="352"/>
      <c r="J306" s="352"/>
      <c r="K306" s="352"/>
    </row>
    <row r="307" spans="1:11" ht="20.25">
      <c r="A307" s="352"/>
      <c r="B307" s="352"/>
      <c r="C307" s="352"/>
      <c r="D307" s="352"/>
      <c r="E307" s="352"/>
      <c r="F307" s="352"/>
      <c r="G307" s="352"/>
      <c r="H307" s="352"/>
      <c r="I307" s="352"/>
      <c r="J307" s="352"/>
      <c r="K307" s="352"/>
    </row>
    <row r="308" spans="1:11" ht="20.25">
      <c r="A308" s="352"/>
      <c r="B308" s="352"/>
      <c r="C308" s="352"/>
      <c r="D308" s="352"/>
      <c r="E308" s="352"/>
      <c r="F308" s="352"/>
      <c r="G308" s="352"/>
      <c r="H308" s="352"/>
      <c r="I308" s="352"/>
      <c r="J308" s="352"/>
      <c r="K308" s="352"/>
    </row>
    <row r="309" spans="1:11" ht="20.25">
      <c r="A309" s="352"/>
      <c r="B309" s="352"/>
      <c r="C309" s="352"/>
      <c r="D309" s="352"/>
      <c r="E309" s="352"/>
      <c r="F309" s="352"/>
      <c r="G309" s="352"/>
      <c r="H309" s="352"/>
      <c r="I309" s="352"/>
      <c r="J309" s="352"/>
      <c r="K309" s="352"/>
    </row>
    <row r="310" spans="1:11" ht="20.25">
      <c r="A310" s="352"/>
      <c r="B310" s="352"/>
      <c r="C310" s="352"/>
      <c r="D310" s="352"/>
      <c r="E310" s="352"/>
      <c r="F310" s="352"/>
      <c r="G310" s="352"/>
      <c r="H310" s="352"/>
      <c r="I310" s="352"/>
      <c r="J310" s="352"/>
      <c r="K310" s="352"/>
    </row>
    <row r="311" spans="1:11" ht="20.25">
      <c r="A311" s="352"/>
      <c r="B311" s="352"/>
      <c r="C311" s="352"/>
      <c r="D311" s="352"/>
      <c r="E311" s="352"/>
      <c r="F311" s="352"/>
      <c r="G311" s="352"/>
      <c r="H311" s="352"/>
      <c r="I311" s="352"/>
      <c r="J311" s="352"/>
      <c r="K311" s="352"/>
    </row>
    <row r="312" spans="1:11" ht="20.25">
      <c r="A312" s="352"/>
      <c r="B312" s="352"/>
      <c r="C312" s="352"/>
      <c r="D312" s="352"/>
      <c r="E312" s="352"/>
      <c r="F312" s="352"/>
      <c r="G312" s="352"/>
      <c r="H312" s="352"/>
      <c r="I312" s="352"/>
      <c r="J312" s="352"/>
      <c r="K312" s="352"/>
    </row>
    <row r="313" spans="1:11" ht="20.25">
      <c r="A313" s="352"/>
      <c r="B313" s="352"/>
      <c r="C313" s="352"/>
      <c r="D313" s="352"/>
      <c r="E313" s="352"/>
      <c r="F313" s="352"/>
      <c r="G313" s="352"/>
      <c r="H313" s="352"/>
      <c r="I313" s="352"/>
      <c r="J313" s="352"/>
      <c r="K313" s="352"/>
    </row>
    <row r="314" spans="1:11" ht="20.25">
      <c r="A314" s="352"/>
      <c r="B314" s="352"/>
      <c r="C314" s="352"/>
      <c r="D314" s="352"/>
      <c r="E314" s="352"/>
      <c r="F314" s="352"/>
      <c r="G314" s="352"/>
      <c r="H314" s="352"/>
      <c r="I314" s="352"/>
      <c r="J314" s="352"/>
      <c r="K314" s="352"/>
    </row>
    <row r="315" spans="1:11" ht="20.25">
      <c r="A315" s="352"/>
      <c r="B315" s="352"/>
      <c r="C315" s="352"/>
      <c r="D315" s="352"/>
      <c r="E315" s="352"/>
      <c r="F315" s="352"/>
      <c r="G315" s="352"/>
      <c r="H315" s="352"/>
      <c r="I315" s="352"/>
      <c r="J315" s="352"/>
      <c r="K315" s="352"/>
    </row>
    <row r="316" spans="1:11" ht="20.25">
      <c r="A316" s="352"/>
      <c r="B316" s="352"/>
      <c r="C316" s="352"/>
      <c r="D316" s="352"/>
      <c r="E316" s="352"/>
      <c r="F316" s="352"/>
      <c r="G316" s="352"/>
      <c r="H316" s="352"/>
      <c r="I316" s="352"/>
      <c r="J316" s="352"/>
      <c r="K316" s="352"/>
    </row>
    <row r="317" spans="1:11" ht="20.25">
      <c r="A317" s="352"/>
      <c r="B317" s="352"/>
      <c r="C317" s="352"/>
      <c r="D317" s="352"/>
      <c r="E317" s="352"/>
      <c r="F317" s="352"/>
      <c r="G317" s="352"/>
      <c r="H317" s="352"/>
      <c r="I317" s="352"/>
      <c r="J317" s="352"/>
      <c r="K317" s="352"/>
    </row>
    <row r="318" spans="1:11" ht="20.25">
      <c r="A318" s="352"/>
      <c r="B318" s="352"/>
      <c r="C318" s="352"/>
      <c r="D318" s="352"/>
      <c r="E318" s="352"/>
      <c r="F318" s="352"/>
      <c r="G318" s="352"/>
      <c r="H318" s="352"/>
      <c r="I318" s="352"/>
      <c r="J318" s="352"/>
      <c r="K318" s="352"/>
    </row>
    <row r="319" spans="1:11" ht="20.25">
      <c r="A319" s="352"/>
      <c r="B319" s="352"/>
      <c r="C319" s="352"/>
      <c r="D319" s="352"/>
      <c r="E319" s="352"/>
      <c r="F319" s="352"/>
      <c r="G319" s="352"/>
      <c r="H319" s="352"/>
      <c r="I319" s="352"/>
      <c r="J319" s="352"/>
      <c r="K319" s="352"/>
    </row>
    <row r="320" spans="1:11" ht="20.25">
      <c r="A320" s="352"/>
      <c r="B320" s="352"/>
      <c r="C320" s="352"/>
      <c r="D320" s="352"/>
      <c r="E320" s="352"/>
      <c r="F320" s="352"/>
      <c r="G320" s="352"/>
      <c r="H320" s="352"/>
      <c r="I320" s="352"/>
      <c r="J320" s="352"/>
      <c r="K320" s="352"/>
    </row>
    <row r="321" spans="1:11" ht="20.25">
      <c r="A321" s="352"/>
      <c r="B321" s="352"/>
      <c r="C321" s="352"/>
      <c r="D321" s="352"/>
      <c r="E321" s="352"/>
      <c r="F321" s="352"/>
      <c r="G321" s="352"/>
      <c r="H321" s="352"/>
      <c r="I321" s="352"/>
      <c r="J321" s="352"/>
      <c r="K321" s="352"/>
    </row>
    <row r="322" spans="1:11" ht="20.25">
      <c r="A322" s="352"/>
      <c r="B322" s="352"/>
      <c r="C322" s="352"/>
      <c r="D322" s="352"/>
      <c r="E322" s="352"/>
      <c r="F322" s="352"/>
      <c r="G322" s="352"/>
      <c r="H322" s="352"/>
      <c r="I322" s="352"/>
      <c r="J322" s="352"/>
      <c r="K322" s="352"/>
    </row>
    <row r="323" spans="1:11" ht="20.25">
      <c r="A323" s="352"/>
      <c r="B323" s="352"/>
      <c r="C323" s="352"/>
      <c r="D323" s="352"/>
      <c r="E323" s="352"/>
      <c r="F323" s="352"/>
      <c r="G323" s="352"/>
      <c r="H323" s="352"/>
      <c r="I323" s="352"/>
      <c r="J323" s="352"/>
      <c r="K323" s="352"/>
    </row>
    <row r="324" spans="1:11" ht="20.25">
      <c r="A324" s="352"/>
      <c r="B324" s="352"/>
      <c r="C324" s="352"/>
      <c r="D324" s="352"/>
      <c r="E324" s="352"/>
      <c r="F324" s="352"/>
      <c r="G324" s="352"/>
      <c r="H324" s="352"/>
      <c r="I324" s="352"/>
      <c r="J324" s="352"/>
      <c r="K324" s="352"/>
    </row>
    <row r="325" spans="1:11" ht="20.25">
      <c r="A325" s="352"/>
      <c r="B325" s="352"/>
      <c r="C325" s="352"/>
      <c r="D325" s="352"/>
      <c r="E325" s="352"/>
      <c r="F325" s="352"/>
      <c r="G325" s="352"/>
      <c r="H325" s="352"/>
      <c r="I325" s="352"/>
      <c r="J325" s="352"/>
      <c r="K325" s="352"/>
    </row>
    <row r="326" spans="1:11" ht="20.25">
      <c r="A326" s="352"/>
      <c r="B326" s="352"/>
      <c r="C326" s="352"/>
      <c r="D326" s="352"/>
      <c r="E326" s="352"/>
      <c r="F326" s="352"/>
      <c r="G326" s="352"/>
      <c r="H326" s="352"/>
      <c r="I326" s="352"/>
      <c r="J326" s="352"/>
      <c r="K326" s="352"/>
    </row>
    <row r="327" spans="1:11" ht="20.25">
      <c r="A327" s="352"/>
      <c r="B327" s="352"/>
      <c r="C327" s="352"/>
      <c r="D327" s="352"/>
      <c r="E327" s="352"/>
      <c r="F327" s="352"/>
      <c r="G327" s="352"/>
      <c r="H327" s="352"/>
      <c r="I327" s="352"/>
      <c r="J327" s="352"/>
      <c r="K327" s="352"/>
    </row>
    <row r="328" spans="1:11" ht="20.25">
      <c r="A328" s="352"/>
      <c r="B328" s="352"/>
      <c r="C328" s="352"/>
      <c r="D328" s="352"/>
      <c r="E328" s="352"/>
      <c r="F328" s="352"/>
      <c r="G328" s="352"/>
      <c r="H328" s="352"/>
      <c r="I328" s="352"/>
      <c r="J328" s="352"/>
      <c r="K328" s="352"/>
    </row>
    <row r="329" spans="1:11" ht="20.25">
      <c r="A329" s="352"/>
      <c r="B329" s="352"/>
      <c r="C329" s="352"/>
      <c r="D329" s="352"/>
      <c r="E329" s="352"/>
      <c r="F329" s="352"/>
      <c r="G329" s="352"/>
      <c r="H329" s="352"/>
      <c r="I329" s="352"/>
      <c r="J329" s="352"/>
      <c r="K329" s="352"/>
    </row>
    <row r="330" spans="1:11" ht="20.25">
      <c r="A330" s="352"/>
      <c r="B330" s="352"/>
      <c r="C330" s="352"/>
      <c r="D330" s="352"/>
      <c r="E330" s="352"/>
      <c r="F330" s="352"/>
      <c r="G330" s="352"/>
      <c r="H330" s="352"/>
      <c r="I330" s="352"/>
      <c r="J330" s="352"/>
      <c r="K330" s="352"/>
    </row>
    <row r="331" spans="1:11" ht="20.25">
      <c r="A331" s="352"/>
      <c r="B331" s="352"/>
      <c r="C331" s="352"/>
      <c r="D331" s="352"/>
      <c r="E331" s="352"/>
      <c r="F331" s="352"/>
      <c r="G331" s="352"/>
      <c r="H331" s="352"/>
      <c r="I331" s="352"/>
      <c r="J331" s="352"/>
      <c r="K331" s="352"/>
    </row>
    <row r="332" spans="1:11" ht="20.25">
      <c r="A332" s="352"/>
      <c r="B332" s="352"/>
      <c r="C332" s="352"/>
      <c r="D332" s="352"/>
      <c r="E332" s="352"/>
      <c r="F332" s="352"/>
      <c r="G332" s="352"/>
      <c r="H332" s="352"/>
      <c r="I332" s="352"/>
      <c r="J332" s="352"/>
      <c r="K332" s="352"/>
    </row>
    <row r="333" spans="1:11" ht="20.25">
      <c r="A333" s="352"/>
      <c r="B333" s="352"/>
      <c r="C333" s="352"/>
      <c r="D333" s="352"/>
      <c r="E333" s="352"/>
      <c r="F333" s="352"/>
      <c r="G333" s="352"/>
      <c r="H333" s="352"/>
      <c r="I333" s="352"/>
      <c r="J333" s="352"/>
      <c r="K333" s="352"/>
    </row>
    <row r="334" spans="1:11" ht="20.25">
      <c r="A334" s="352"/>
      <c r="B334" s="352"/>
      <c r="C334" s="352"/>
      <c r="D334" s="352"/>
      <c r="E334" s="352"/>
      <c r="F334" s="352"/>
      <c r="G334" s="352"/>
      <c r="H334" s="352"/>
      <c r="I334" s="352"/>
      <c r="J334" s="352"/>
      <c r="K334" s="352"/>
    </row>
    <row r="335" spans="1:11" ht="20.25">
      <c r="A335" s="352"/>
      <c r="B335" s="352"/>
      <c r="C335" s="352"/>
      <c r="D335" s="352"/>
      <c r="E335" s="352"/>
      <c r="F335" s="352"/>
      <c r="G335" s="352"/>
      <c r="H335" s="352"/>
      <c r="I335" s="352"/>
      <c r="J335" s="352"/>
      <c r="K335" s="352"/>
    </row>
    <row r="336" spans="1:11" ht="20.25">
      <c r="A336" s="352"/>
      <c r="B336" s="352"/>
      <c r="C336" s="352"/>
      <c r="D336" s="352"/>
      <c r="E336" s="352"/>
      <c r="F336" s="352"/>
      <c r="G336" s="352"/>
      <c r="H336" s="352"/>
      <c r="I336" s="352"/>
      <c r="J336" s="352"/>
      <c r="K336" s="352"/>
    </row>
    <row r="337" spans="1:11" ht="20.25">
      <c r="A337" s="352"/>
      <c r="B337" s="352"/>
      <c r="C337" s="352"/>
      <c r="D337" s="352"/>
      <c r="E337" s="352"/>
      <c r="F337" s="352"/>
      <c r="G337" s="352"/>
      <c r="H337" s="352"/>
      <c r="I337" s="352"/>
      <c r="J337" s="352"/>
      <c r="K337" s="352"/>
    </row>
    <row r="338" spans="1:11" ht="20.25">
      <c r="A338" s="352"/>
      <c r="B338" s="352"/>
      <c r="C338" s="352"/>
      <c r="D338" s="352"/>
      <c r="E338" s="352"/>
      <c r="F338" s="352"/>
      <c r="G338" s="352"/>
      <c r="H338" s="352"/>
      <c r="I338" s="352"/>
      <c r="J338" s="352"/>
      <c r="K338" s="352"/>
    </row>
    <row r="339" spans="1:11" ht="20.25">
      <c r="A339" s="352"/>
      <c r="B339" s="352"/>
      <c r="C339" s="352"/>
      <c r="D339" s="352"/>
      <c r="E339" s="352"/>
      <c r="F339" s="352"/>
      <c r="G339" s="352"/>
      <c r="H339" s="352"/>
      <c r="I339" s="352"/>
      <c r="J339" s="352"/>
      <c r="K339" s="352"/>
    </row>
    <row r="340" spans="1:11" ht="20.25">
      <c r="A340" s="352"/>
      <c r="B340" s="352"/>
      <c r="C340" s="352"/>
      <c r="D340" s="352"/>
      <c r="E340" s="352"/>
      <c r="F340" s="352"/>
      <c r="G340" s="352"/>
      <c r="H340" s="352"/>
      <c r="I340" s="352"/>
      <c r="J340" s="352"/>
      <c r="K340" s="352"/>
    </row>
    <row r="341" spans="1:11" ht="20.25">
      <c r="A341" s="352"/>
      <c r="B341" s="352"/>
      <c r="C341" s="352"/>
      <c r="D341" s="352"/>
      <c r="E341" s="352"/>
      <c r="F341" s="352"/>
      <c r="G341" s="352"/>
      <c r="H341" s="352"/>
      <c r="I341" s="352"/>
      <c r="J341" s="352"/>
      <c r="K341" s="352"/>
    </row>
    <row r="342" spans="1:11" ht="20.25">
      <c r="A342" s="352"/>
      <c r="B342" s="352"/>
      <c r="C342" s="352"/>
      <c r="D342" s="352"/>
      <c r="E342" s="352"/>
      <c r="F342" s="352"/>
      <c r="G342" s="352"/>
      <c r="H342" s="352"/>
      <c r="I342" s="352"/>
      <c r="J342" s="352"/>
      <c r="K342" s="352"/>
    </row>
    <row r="343" spans="1:11" ht="20.25">
      <c r="A343" s="352"/>
      <c r="B343" s="352"/>
      <c r="C343" s="352"/>
      <c r="D343" s="352"/>
      <c r="E343" s="352"/>
      <c r="F343" s="352"/>
      <c r="G343" s="352"/>
      <c r="H343" s="352"/>
      <c r="I343" s="352"/>
      <c r="J343" s="352"/>
      <c r="K343" s="352"/>
    </row>
    <row r="344" spans="1:11" ht="20.25">
      <c r="A344" s="352"/>
      <c r="B344" s="352"/>
      <c r="C344" s="352"/>
      <c r="D344" s="352"/>
      <c r="E344" s="352"/>
      <c r="F344" s="352"/>
      <c r="G344" s="352"/>
      <c r="H344" s="352"/>
      <c r="I344" s="352"/>
      <c r="J344" s="352"/>
      <c r="K344" s="352"/>
    </row>
    <row r="345" spans="1:11" ht="20.25">
      <c r="A345" s="352"/>
      <c r="B345" s="352"/>
      <c r="C345" s="352"/>
      <c r="D345" s="352"/>
      <c r="E345" s="352"/>
      <c r="F345" s="352"/>
      <c r="G345" s="352"/>
      <c r="H345" s="352"/>
      <c r="I345" s="352"/>
      <c r="J345" s="352"/>
      <c r="K345" s="352"/>
    </row>
    <row r="346" spans="1:11" ht="20.25">
      <c r="A346" s="352"/>
      <c r="B346" s="352"/>
      <c r="C346" s="352"/>
      <c r="D346" s="352"/>
      <c r="E346" s="352"/>
      <c r="F346" s="352"/>
      <c r="G346" s="352"/>
      <c r="H346" s="352"/>
      <c r="I346" s="352"/>
      <c r="J346" s="352"/>
      <c r="K346" s="352"/>
    </row>
    <row r="347" spans="1:11" ht="20.25">
      <c r="A347" s="352"/>
      <c r="B347" s="352"/>
      <c r="C347" s="352"/>
      <c r="D347" s="352"/>
      <c r="E347" s="352"/>
      <c r="F347" s="352"/>
      <c r="G347" s="352"/>
      <c r="H347" s="352"/>
      <c r="I347" s="352"/>
      <c r="J347" s="352"/>
      <c r="K347" s="352"/>
    </row>
    <row r="348" spans="1:11" ht="20.25">
      <c r="A348" s="352"/>
      <c r="B348" s="352"/>
      <c r="C348" s="352"/>
      <c r="D348" s="352"/>
      <c r="E348" s="352"/>
      <c r="F348" s="352"/>
      <c r="G348" s="352"/>
      <c r="H348" s="352"/>
      <c r="I348" s="352"/>
      <c r="J348" s="352"/>
      <c r="K348" s="352"/>
    </row>
    <row r="349" spans="1:11" ht="20.25">
      <c r="A349" s="352"/>
      <c r="B349" s="352"/>
      <c r="C349" s="352"/>
      <c r="D349" s="352"/>
      <c r="E349" s="352"/>
      <c r="F349" s="352"/>
      <c r="G349" s="352"/>
      <c r="H349" s="352"/>
      <c r="I349" s="352"/>
      <c r="J349" s="352"/>
      <c r="K349" s="352"/>
    </row>
    <row r="350" spans="1:11" ht="20.25">
      <c r="A350" s="352"/>
      <c r="B350" s="352"/>
      <c r="C350" s="352"/>
      <c r="D350" s="352"/>
      <c r="E350" s="352"/>
      <c r="F350" s="352"/>
      <c r="G350" s="352"/>
      <c r="H350" s="352"/>
      <c r="I350" s="352"/>
      <c r="J350" s="352"/>
      <c r="K350" s="352"/>
    </row>
    <row r="351" spans="1:11" ht="20.25">
      <c r="A351" s="352"/>
      <c r="B351" s="352"/>
      <c r="C351" s="352"/>
      <c r="D351" s="352"/>
      <c r="E351" s="352"/>
      <c r="F351" s="352"/>
      <c r="G351" s="352"/>
      <c r="H351" s="352"/>
      <c r="I351" s="352"/>
      <c r="J351" s="352"/>
      <c r="K351" s="352"/>
    </row>
    <row r="352" spans="1:11" ht="20.25">
      <c r="A352" s="352"/>
      <c r="B352" s="352"/>
      <c r="C352" s="352"/>
      <c r="D352" s="352"/>
      <c r="E352" s="352"/>
      <c r="F352" s="352"/>
      <c r="G352" s="352"/>
      <c r="H352" s="352"/>
      <c r="I352" s="352"/>
      <c r="J352" s="352"/>
      <c r="K352" s="352"/>
    </row>
    <row r="353" spans="1:11" ht="20.25">
      <c r="A353" s="352"/>
      <c r="B353" s="352"/>
      <c r="C353" s="352"/>
      <c r="D353" s="352"/>
      <c r="E353" s="352"/>
      <c r="F353" s="352"/>
      <c r="G353" s="352"/>
      <c r="H353" s="352"/>
      <c r="I353" s="352"/>
      <c r="J353" s="352"/>
      <c r="K353" s="352"/>
    </row>
    <row r="354" spans="1:11" ht="20.25">
      <c r="A354" s="352"/>
      <c r="B354" s="352"/>
      <c r="C354" s="352"/>
      <c r="D354" s="352"/>
      <c r="E354" s="352"/>
      <c r="F354" s="352"/>
      <c r="G354" s="352"/>
      <c r="H354" s="352"/>
      <c r="I354" s="352"/>
      <c r="J354" s="352"/>
      <c r="K354" s="352"/>
    </row>
    <row r="355" spans="1:11" ht="20.25">
      <c r="A355" s="352"/>
      <c r="B355" s="352"/>
      <c r="C355" s="352"/>
      <c r="D355" s="352"/>
      <c r="E355" s="352"/>
      <c r="F355" s="352"/>
      <c r="G355" s="352"/>
      <c r="H355" s="352"/>
      <c r="I355" s="352"/>
      <c r="J355" s="352"/>
      <c r="K355" s="352"/>
    </row>
    <row r="356" spans="1:11" ht="20.25">
      <c r="A356" s="352"/>
      <c r="B356" s="352"/>
      <c r="C356" s="352"/>
      <c r="D356" s="352"/>
      <c r="E356" s="352"/>
      <c r="F356" s="352"/>
      <c r="G356" s="352"/>
      <c r="H356" s="352"/>
      <c r="I356" s="352"/>
      <c r="J356" s="352"/>
      <c r="K356" s="352"/>
    </row>
    <row r="357" spans="1:11" ht="20.25">
      <c r="A357" s="352"/>
      <c r="B357" s="352"/>
      <c r="C357" s="352"/>
      <c r="D357" s="352"/>
      <c r="E357" s="352"/>
      <c r="F357" s="352"/>
      <c r="G357" s="352"/>
      <c r="H357" s="352"/>
      <c r="I357" s="352"/>
      <c r="J357" s="352"/>
      <c r="K357" s="352"/>
    </row>
    <row r="358" spans="1:11" ht="20.25">
      <c r="A358" s="352"/>
      <c r="B358" s="352"/>
      <c r="C358" s="352"/>
      <c r="D358" s="352"/>
      <c r="E358" s="352"/>
      <c r="F358" s="352"/>
      <c r="G358" s="352"/>
      <c r="H358" s="352"/>
      <c r="I358" s="352"/>
      <c r="J358" s="352"/>
      <c r="K358" s="352"/>
    </row>
    <row r="359" spans="1:11" ht="20.25">
      <c r="A359" s="352"/>
      <c r="B359" s="352"/>
      <c r="C359" s="352"/>
      <c r="D359" s="352"/>
      <c r="E359" s="352"/>
      <c r="F359" s="352"/>
      <c r="G359" s="352"/>
      <c r="H359" s="352"/>
      <c r="I359" s="352"/>
      <c r="J359" s="352"/>
      <c r="K359" s="352"/>
    </row>
    <row r="360" spans="1:11" ht="20.25">
      <c r="A360" s="352"/>
      <c r="B360" s="352"/>
      <c r="C360" s="352"/>
      <c r="D360" s="352"/>
      <c r="E360" s="352"/>
      <c r="F360" s="352"/>
      <c r="G360" s="352"/>
      <c r="H360" s="352"/>
      <c r="I360" s="352"/>
      <c r="J360" s="352"/>
      <c r="K360" s="352"/>
    </row>
    <row r="361" spans="1:11" ht="20.25">
      <c r="A361" s="352"/>
      <c r="B361" s="352"/>
      <c r="C361" s="352"/>
      <c r="D361" s="352"/>
      <c r="E361" s="352"/>
      <c r="F361" s="352"/>
      <c r="G361" s="352"/>
      <c r="H361" s="352"/>
      <c r="I361" s="352"/>
      <c r="J361" s="352"/>
      <c r="K361" s="352"/>
    </row>
    <row r="362" spans="1:11" ht="20.25">
      <c r="A362" s="352"/>
      <c r="B362" s="352"/>
      <c r="C362" s="352"/>
      <c r="D362" s="352"/>
      <c r="E362" s="352"/>
      <c r="F362" s="352"/>
      <c r="G362" s="352"/>
      <c r="H362" s="352"/>
      <c r="I362" s="352"/>
      <c r="J362" s="352"/>
      <c r="K362" s="352"/>
    </row>
    <row r="363" spans="1:11" ht="20.25">
      <c r="A363" s="352"/>
      <c r="B363" s="352"/>
      <c r="C363" s="352"/>
      <c r="D363" s="352"/>
      <c r="E363" s="352"/>
      <c r="F363" s="352"/>
      <c r="G363" s="352"/>
      <c r="H363" s="352"/>
      <c r="I363" s="352"/>
      <c r="J363" s="352"/>
      <c r="K363" s="352"/>
    </row>
    <row r="364" spans="1:11" ht="20.25">
      <c r="A364" s="352"/>
      <c r="B364" s="352"/>
      <c r="C364" s="352"/>
      <c r="D364" s="352"/>
      <c r="E364" s="352"/>
      <c r="F364" s="352"/>
      <c r="G364" s="352"/>
      <c r="H364" s="352"/>
      <c r="I364" s="352"/>
      <c r="J364" s="352"/>
      <c r="K364" s="352"/>
    </row>
    <row r="365" spans="1:11" ht="20.25">
      <c r="A365" s="352"/>
      <c r="B365" s="352"/>
      <c r="C365" s="352"/>
      <c r="D365" s="352"/>
      <c r="E365" s="352"/>
      <c r="F365" s="352"/>
      <c r="G365" s="352"/>
      <c r="H365" s="352"/>
      <c r="I365" s="352"/>
      <c r="J365" s="352"/>
      <c r="K365" s="352"/>
    </row>
    <row r="366" spans="1:11" ht="20.25">
      <c r="A366" s="352"/>
      <c r="B366" s="352"/>
      <c r="C366" s="352"/>
      <c r="D366" s="352"/>
      <c r="E366" s="352"/>
      <c r="F366" s="352"/>
      <c r="G366" s="352"/>
      <c r="H366" s="352"/>
      <c r="I366" s="352"/>
      <c r="J366" s="352"/>
      <c r="K366" s="352"/>
    </row>
    <row r="367" spans="1:11" ht="20.25">
      <c r="A367" s="352"/>
      <c r="B367" s="352"/>
      <c r="C367" s="352"/>
      <c r="D367" s="352"/>
      <c r="E367" s="352"/>
      <c r="F367" s="352"/>
      <c r="G367" s="352"/>
      <c r="H367" s="352"/>
      <c r="I367" s="352"/>
      <c r="J367" s="352"/>
      <c r="K367" s="352"/>
    </row>
    <row r="368" spans="1:11" ht="20.25">
      <c r="A368" s="352"/>
      <c r="B368" s="352"/>
      <c r="C368" s="352"/>
      <c r="D368" s="352"/>
      <c r="E368" s="352"/>
      <c r="F368" s="352"/>
      <c r="G368" s="352"/>
      <c r="H368" s="352"/>
      <c r="I368" s="352"/>
      <c r="J368" s="352"/>
      <c r="K368" s="352"/>
    </row>
    <row r="369" spans="1:11" ht="20.25">
      <c r="A369" s="352"/>
      <c r="B369" s="352"/>
      <c r="C369" s="352"/>
      <c r="D369" s="352"/>
      <c r="E369" s="352"/>
      <c r="F369" s="352"/>
      <c r="G369" s="352"/>
      <c r="H369" s="352"/>
      <c r="I369" s="352"/>
      <c r="J369" s="352"/>
      <c r="K369" s="352"/>
    </row>
    <row r="370" spans="1:11" ht="20.25">
      <c r="A370" s="352"/>
      <c r="B370" s="352"/>
      <c r="C370" s="352"/>
      <c r="D370" s="352"/>
      <c r="E370" s="352"/>
      <c r="F370" s="352"/>
      <c r="G370" s="352"/>
      <c r="H370" s="352"/>
      <c r="I370" s="352"/>
      <c r="J370" s="352"/>
      <c r="K370" s="352"/>
    </row>
    <row r="371" spans="1:11" ht="20.25">
      <c r="A371" s="352"/>
      <c r="B371" s="352"/>
      <c r="C371" s="352"/>
      <c r="D371" s="352"/>
      <c r="E371" s="352"/>
      <c r="F371" s="352"/>
      <c r="G371" s="352"/>
      <c r="H371" s="352"/>
      <c r="I371" s="352"/>
      <c r="J371" s="352"/>
      <c r="K371" s="352"/>
    </row>
    <row r="372" spans="1:11" ht="20.25">
      <c r="A372" s="352"/>
      <c r="B372" s="352"/>
      <c r="C372" s="352"/>
      <c r="D372" s="352"/>
      <c r="E372" s="352"/>
      <c r="F372" s="352"/>
      <c r="G372" s="352"/>
      <c r="H372" s="352"/>
      <c r="I372" s="352"/>
      <c r="J372" s="352"/>
      <c r="K372" s="352"/>
    </row>
    <row r="373" spans="1:11" ht="20.25">
      <c r="A373" s="352"/>
      <c r="B373" s="352"/>
      <c r="C373" s="352"/>
      <c r="D373" s="352"/>
      <c r="E373" s="352"/>
      <c r="F373" s="352"/>
      <c r="G373" s="352"/>
      <c r="H373" s="352"/>
      <c r="I373" s="352"/>
      <c r="J373" s="352"/>
      <c r="K373" s="352"/>
    </row>
    <row r="374" spans="1:11" ht="20.25">
      <c r="A374" s="352"/>
      <c r="B374" s="352"/>
      <c r="C374" s="352"/>
      <c r="D374" s="352"/>
      <c r="E374" s="352"/>
      <c r="F374" s="352"/>
      <c r="G374" s="352"/>
      <c r="H374" s="352"/>
      <c r="I374" s="352"/>
      <c r="J374" s="352"/>
      <c r="K374" s="352"/>
    </row>
    <row r="375" spans="1:11" ht="20.25">
      <c r="A375" s="352"/>
      <c r="B375" s="352"/>
      <c r="C375" s="352"/>
      <c r="D375" s="352"/>
      <c r="E375" s="352"/>
      <c r="F375" s="352"/>
      <c r="G375" s="352"/>
      <c r="H375" s="352"/>
      <c r="I375" s="352"/>
      <c r="J375" s="352"/>
      <c r="K375" s="352"/>
    </row>
    <row r="376" spans="1:11" ht="20.25">
      <c r="A376" s="352"/>
      <c r="B376" s="352"/>
      <c r="C376" s="352"/>
      <c r="D376" s="352"/>
      <c r="E376" s="352"/>
      <c r="F376" s="352"/>
      <c r="G376" s="352"/>
      <c r="H376" s="352"/>
      <c r="I376" s="352"/>
      <c r="J376" s="352"/>
      <c r="K376" s="352"/>
    </row>
    <row r="377" spans="1:11" ht="20.25">
      <c r="A377" s="352"/>
      <c r="B377" s="352"/>
      <c r="C377" s="352"/>
      <c r="D377" s="352"/>
      <c r="E377" s="352"/>
      <c r="F377" s="352"/>
      <c r="G377" s="352"/>
      <c r="H377" s="352"/>
      <c r="I377" s="352"/>
      <c r="J377" s="352"/>
      <c r="K377" s="352"/>
    </row>
    <row r="378" spans="1:11" ht="20.25">
      <c r="A378" s="352"/>
      <c r="B378" s="352"/>
      <c r="C378" s="352"/>
      <c r="D378" s="352"/>
      <c r="E378" s="352"/>
      <c r="F378" s="352"/>
      <c r="G378" s="352"/>
      <c r="H378" s="352"/>
      <c r="I378" s="352"/>
      <c r="J378" s="352"/>
      <c r="K378" s="352"/>
    </row>
    <row r="379" spans="1:11" ht="20.25">
      <c r="A379" s="352"/>
      <c r="B379" s="352"/>
      <c r="C379" s="352"/>
      <c r="D379" s="352"/>
      <c r="E379" s="352"/>
      <c r="F379" s="352"/>
      <c r="G379" s="352"/>
      <c r="H379" s="352"/>
      <c r="I379" s="352"/>
      <c r="J379" s="352"/>
      <c r="K379" s="352"/>
    </row>
    <row r="380" spans="1:11" ht="20.25">
      <c r="A380" s="352"/>
      <c r="B380" s="352"/>
      <c r="C380" s="352"/>
      <c r="D380" s="352"/>
      <c r="E380" s="352"/>
      <c r="F380" s="352"/>
      <c r="G380" s="352"/>
      <c r="H380" s="352"/>
      <c r="I380" s="352"/>
      <c r="J380" s="352"/>
      <c r="K380" s="352"/>
    </row>
    <row r="381" spans="1:11" ht="20.25">
      <c r="A381" s="352"/>
      <c r="B381" s="352"/>
      <c r="C381" s="352"/>
      <c r="D381" s="352"/>
      <c r="E381" s="352"/>
      <c r="F381" s="352"/>
      <c r="G381" s="352"/>
      <c r="H381" s="352"/>
      <c r="I381" s="352"/>
      <c r="J381" s="352"/>
      <c r="K381" s="352"/>
    </row>
    <row r="382" spans="1:11" ht="20.25">
      <c r="A382" s="352"/>
      <c r="B382" s="352"/>
      <c r="C382" s="352"/>
      <c r="D382" s="352"/>
      <c r="E382" s="352"/>
      <c r="F382" s="352"/>
      <c r="G382" s="352"/>
      <c r="H382" s="352"/>
      <c r="I382" s="352"/>
      <c r="J382" s="352"/>
      <c r="K382" s="352"/>
    </row>
    <row r="383" spans="1:11" ht="20.25">
      <c r="A383" s="352"/>
      <c r="B383" s="352"/>
      <c r="C383" s="352"/>
      <c r="D383" s="352"/>
      <c r="E383" s="352"/>
      <c r="F383" s="352"/>
      <c r="G383" s="352"/>
      <c r="H383" s="352"/>
      <c r="I383" s="352"/>
      <c r="J383" s="352"/>
      <c r="K383" s="352"/>
    </row>
    <row r="384" spans="1:11" ht="20.25">
      <c r="A384" s="352"/>
      <c r="B384" s="352"/>
      <c r="C384" s="352"/>
      <c r="D384" s="352"/>
      <c r="E384" s="352"/>
      <c r="F384" s="352"/>
      <c r="G384" s="352"/>
      <c r="H384" s="352"/>
      <c r="I384" s="352"/>
      <c r="J384" s="352"/>
      <c r="K384" s="352"/>
    </row>
    <row r="385" spans="1:11" ht="20.25">
      <c r="A385" s="352"/>
      <c r="B385" s="352"/>
      <c r="C385" s="352"/>
      <c r="D385" s="352"/>
      <c r="E385" s="352"/>
      <c r="F385" s="352"/>
      <c r="G385" s="352"/>
      <c r="H385" s="352"/>
      <c r="I385" s="352"/>
      <c r="J385" s="352"/>
      <c r="K385" s="352"/>
    </row>
    <row r="386" spans="1:11" ht="20.25">
      <c r="A386" s="352"/>
      <c r="B386" s="352"/>
      <c r="C386" s="352"/>
      <c r="D386" s="352"/>
      <c r="E386" s="352"/>
      <c r="F386" s="352"/>
      <c r="G386" s="352"/>
      <c r="H386" s="352"/>
      <c r="I386" s="352"/>
      <c r="J386" s="352"/>
      <c r="K386" s="352"/>
    </row>
    <row r="387" spans="1:11" ht="20.25">
      <c r="A387" s="352"/>
      <c r="B387" s="352"/>
      <c r="C387" s="352"/>
      <c r="D387" s="352"/>
      <c r="E387" s="352"/>
      <c r="F387" s="352"/>
      <c r="G387" s="352"/>
      <c r="H387" s="352"/>
      <c r="I387" s="352"/>
      <c r="J387" s="352"/>
      <c r="K387" s="352"/>
    </row>
    <row r="388" spans="1:11" ht="20.25">
      <c r="A388" s="352"/>
      <c r="B388" s="352"/>
      <c r="C388" s="352"/>
      <c r="D388" s="352"/>
      <c r="E388" s="352"/>
      <c r="F388" s="352"/>
      <c r="G388" s="352"/>
      <c r="H388" s="352"/>
      <c r="I388" s="352"/>
      <c r="J388" s="352"/>
      <c r="K388" s="352"/>
    </row>
    <row r="389" spans="1:11" ht="20.25">
      <c r="A389" s="352"/>
      <c r="B389" s="352"/>
      <c r="C389" s="352"/>
      <c r="D389" s="352"/>
      <c r="E389" s="352"/>
      <c r="F389" s="352"/>
      <c r="G389" s="352"/>
      <c r="H389" s="352"/>
      <c r="I389" s="352"/>
      <c r="J389" s="352"/>
      <c r="K389" s="352"/>
    </row>
    <row r="390" spans="1:11" ht="20.25">
      <c r="A390" s="352"/>
      <c r="B390" s="352"/>
      <c r="C390" s="352"/>
      <c r="D390" s="352"/>
      <c r="E390" s="352"/>
      <c r="F390" s="352"/>
      <c r="G390" s="352"/>
      <c r="H390" s="352"/>
      <c r="I390" s="352"/>
      <c r="J390" s="352"/>
      <c r="K390" s="352"/>
    </row>
    <row r="391" spans="1:11" ht="20.25">
      <c r="A391" s="352"/>
      <c r="B391" s="352"/>
      <c r="C391" s="352"/>
      <c r="D391" s="352"/>
      <c r="E391" s="352"/>
      <c r="F391" s="352"/>
      <c r="G391" s="352"/>
      <c r="H391" s="352"/>
      <c r="I391" s="352"/>
      <c r="J391" s="352"/>
      <c r="K391" s="352"/>
    </row>
    <row r="392" spans="1:11" ht="20.25">
      <c r="A392" s="352"/>
      <c r="B392" s="352"/>
      <c r="C392" s="352"/>
      <c r="D392" s="352"/>
      <c r="E392" s="352"/>
      <c r="F392" s="352"/>
      <c r="G392" s="352"/>
      <c r="H392" s="352"/>
      <c r="I392" s="352"/>
      <c r="J392" s="352"/>
      <c r="K392" s="352"/>
    </row>
    <row r="393" spans="1:11" ht="20.25">
      <c r="A393" s="352"/>
      <c r="B393" s="352"/>
      <c r="C393" s="352"/>
      <c r="D393" s="352"/>
      <c r="E393" s="352"/>
      <c r="F393" s="352"/>
      <c r="G393" s="352"/>
      <c r="H393" s="352"/>
      <c r="I393" s="352"/>
      <c r="J393" s="352"/>
      <c r="K393" s="352"/>
    </row>
    <row r="394" spans="1:11" ht="20.25">
      <c r="A394" s="352"/>
      <c r="B394" s="352"/>
      <c r="C394" s="352"/>
      <c r="D394" s="352"/>
      <c r="E394" s="352"/>
      <c r="F394" s="352"/>
      <c r="G394" s="352"/>
      <c r="H394" s="352"/>
      <c r="I394" s="352"/>
      <c r="J394" s="352"/>
      <c r="K394" s="352"/>
    </row>
    <row r="395" spans="1:11" ht="20.25">
      <c r="A395" s="352"/>
      <c r="B395" s="352"/>
      <c r="C395" s="352"/>
      <c r="D395" s="352"/>
      <c r="E395" s="352"/>
      <c r="F395" s="352"/>
      <c r="G395" s="352"/>
      <c r="H395" s="352"/>
      <c r="I395" s="352"/>
      <c r="J395" s="352"/>
      <c r="K395" s="352"/>
    </row>
    <row r="396" spans="1:11" ht="20.25">
      <c r="A396" s="352"/>
      <c r="B396" s="352"/>
      <c r="C396" s="352"/>
      <c r="D396" s="352"/>
      <c r="E396" s="352"/>
      <c r="F396" s="352"/>
      <c r="G396" s="352"/>
      <c r="H396" s="352"/>
      <c r="I396" s="352"/>
      <c r="J396" s="352"/>
      <c r="K396" s="352"/>
    </row>
    <row r="397" spans="1:11" ht="20.25">
      <c r="A397" s="352"/>
      <c r="B397" s="352"/>
      <c r="C397" s="352"/>
      <c r="D397" s="352"/>
      <c r="E397" s="352"/>
      <c r="F397" s="352"/>
      <c r="G397" s="352"/>
      <c r="H397" s="352"/>
      <c r="I397" s="352"/>
      <c r="J397" s="352"/>
      <c r="K397" s="352"/>
    </row>
    <row r="398" spans="1:11" ht="20.25">
      <c r="A398" s="352"/>
      <c r="B398" s="352"/>
      <c r="C398" s="352"/>
      <c r="D398" s="352"/>
      <c r="E398" s="352"/>
      <c r="F398" s="352"/>
      <c r="G398" s="352"/>
      <c r="H398" s="352"/>
      <c r="I398" s="352"/>
      <c r="J398" s="352"/>
      <c r="K398" s="352"/>
    </row>
    <row r="399" spans="1:11" ht="20.25">
      <c r="A399" s="352"/>
      <c r="B399" s="352"/>
      <c r="C399" s="352"/>
      <c r="D399" s="352"/>
      <c r="E399" s="352"/>
      <c r="F399" s="352"/>
      <c r="G399" s="352"/>
      <c r="H399" s="352"/>
      <c r="I399" s="352"/>
      <c r="J399" s="352"/>
      <c r="K399" s="352"/>
    </row>
    <row r="400" spans="1:11" ht="20.25">
      <c r="A400" s="352"/>
      <c r="B400" s="352"/>
      <c r="C400" s="352"/>
      <c r="D400" s="352"/>
      <c r="E400" s="352"/>
      <c r="F400" s="352"/>
      <c r="G400" s="352"/>
      <c r="H400" s="352"/>
      <c r="I400" s="352"/>
      <c r="J400" s="352"/>
      <c r="K400" s="352"/>
    </row>
    <row r="401" spans="1:11" ht="20.25">
      <c r="A401" s="352"/>
      <c r="B401" s="352"/>
      <c r="C401" s="352"/>
      <c r="D401" s="352"/>
      <c r="E401" s="352"/>
      <c r="F401" s="352"/>
      <c r="G401" s="352"/>
      <c r="H401" s="352"/>
      <c r="I401" s="352"/>
      <c r="J401" s="352"/>
      <c r="K401" s="352"/>
    </row>
    <row r="402" spans="1:11" ht="20.25">
      <c r="A402" s="352"/>
      <c r="B402" s="352"/>
      <c r="C402" s="352"/>
      <c r="D402" s="352"/>
      <c r="E402" s="352"/>
      <c r="F402" s="352"/>
      <c r="G402" s="352"/>
      <c r="H402" s="352"/>
      <c r="I402" s="352"/>
      <c r="J402" s="352"/>
      <c r="K402" s="352"/>
    </row>
    <row r="403" spans="1:11" ht="20.25">
      <c r="A403" s="352"/>
      <c r="B403" s="352"/>
      <c r="C403" s="352"/>
      <c r="D403" s="352"/>
      <c r="E403" s="352"/>
      <c r="F403" s="352"/>
      <c r="G403" s="352"/>
      <c r="H403" s="352"/>
      <c r="I403" s="352"/>
      <c r="J403" s="352"/>
      <c r="K403" s="352"/>
    </row>
    <row r="404" spans="1:11" ht="20.25">
      <c r="A404" s="352"/>
      <c r="B404" s="352"/>
      <c r="C404" s="352"/>
      <c r="D404" s="352"/>
      <c r="E404" s="352"/>
      <c r="F404" s="352"/>
      <c r="G404" s="352"/>
      <c r="H404" s="352"/>
      <c r="I404" s="352"/>
      <c r="J404" s="352"/>
      <c r="K404" s="352"/>
    </row>
    <row r="405" spans="1:11" ht="20.25">
      <c r="A405" s="352"/>
      <c r="B405" s="352"/>
      <c r="C405" s="352"/>
      <c r="D405" s="352"/>
      <c r="E405" s="352"/>
      <c r="F405" s="352"/>
      <c r="G405" s="352"/>
      <c r="H405" s="352"/>
      <c r="I405" s="352"/>
      <c r="J405" s="352"/>
      <c r="K405" s="352"/>
    </row>
    <row r="406" spans="1:11" ht="20.25">
      <c r="A406" s="352"/>
      <c r="B406" s="352"/>
      <c r="C406" s="352"/>
      <c r="D406" s="352"/>
      <c r="E406" s="352"/>
      <c r="F406" s="352"/>
      <c r="G406" s="352"/>
      <c r="H406" s="352"/>
      <c r="I406" s="352"/>
      <c r="J406" s="352"/>
      <c r="K406" s="352"/>
    </row>
    <row r="407" spans="1:11" ht="20.25">
      <c r="A407" s="352"/>
      <c r="B407" s="352"/>
      <c r="C407" s="352"/>
      <c r="D407" s="352"/>
      <c r="E407" s="352"/>
      <c r="F407" s="352"/>
      <c r="G407" s="352"/>
      <c r="H407" s="352"/>
      <c r="I407" s="352"/>
      <c r="J407" s="352"/>
      <c r="K407" s="352"/>
    </row>
    <row r="408" spans="1:11" ht="20.25">
      <c r="A408" s="352"/>
      <c r="B408" s="352"/>
      <c r="C408" s="352"/>
      <c r="D408" s="352"/>
      <c r="E408" s="352"/>
      <c r="F408" s="352"/>
      <c r="G408" s="352"/>
      <c r="H408" s="352"/>
      <c r="I408" s="352"/>
      <c r="J408" s="352"/>
      <c r="K408" s="352"/>
    </row>
    <row r="409" spans="1:11" ht="20.25">
      <c r="A409" s="352"/>
      <c r="B409" s="352"/>
      <c r="C409" s="352"/>
      <c r="D409" s="352"/>
      <c r="E409" s="352"/>
      <c r="F409" s="352"/>
      <c r="G409" s="352"/>
      <c r="H409" s="352"/>
      <c r="I409" s="352"/>
      <c r="J409" s="352"/>
      <c r="K409" s="352"/>
    </row>
    <row r="410" spans="1:11" ht="20.25">
      <c r="A410" s="352"/>
      <c r="B410" s="352"/>
      <c r="C410" s="352"/>
      <c r="D410" s="352"/>
      <c r="E410" s="352"/>
      <c r="F410" s="352"/>
      <c r="G410" s="352"/>
      <c r="H410" s="352"/>
      <c r="I410" s="352"/>
      <c r="J410" s="352"/>
      <c r="K410" s="352"/>
    </row>
    <row r="411" spans="1:11" ht="20.25">
      <c r="A411" s="352"/>
      <c r="B411" s="352"/>
      <c r="C411" s="352"/>
      <c r="D411" s="352"/>
      <c r="E411" s="352"/>
      <c r="F411" s="352"/>
      <c r="G411" s="352"/>
      <c r="H411" s="352"/>
      <c r="I411" s="352"/>
      <c r="J411" s="352"/>
      <c r="K411" s="352"/>
    </row>
    <row r="412" spans="1:11" ht="20.25">
      <c r="A412" s="352"/>
      <c r="B412" s="352"/>
      <c r="C412" s="352"/>
      <c r="D412" s="352"/>
      <c r="E412" s="352"/>
      <c r="F412" s="352"/>
      <c r="G412" s="352"/>
      <c r="H412" s="352"/>
      <c r="I412" s="352"/>
      <c r="J412" s="352"/>
      <c r="K412" s="352"/>
    </row>
    <row r="413" spans="1:11" ht="20.25">
      <c r="A413" s="352"/>
      <c r="B413" s="352"/>
      <c r="C413" s="352"/>
      <c r="D413" s="352"/>
      <c r="E413" s="352"/>
      <c r="F413" s="352"/>
      <c r="G413" s="352"/>
      <c r="H413" s="352"/>
      <c r="I413" s="352"/>
      <c r="J413" s="352"/>
      <c r="K413" s="352"/>
    </row>
    <row r="414" spans="1:11" ht="20.25">
      <c r="A414" s="352"/>
      <c r="B414" s="352"/>
      <c r="C414" s="352"/>
      <c r="D414" s="352"/>
      <c r="E414" s="352"/>
      <c r="F414" s="352"/>
      <c r="G414" s="352"/>
      <c r="H414" s="352"/>
      <c r="I414" s="352"/>
      <c r="J414" s="352"/>
      <c r="K414" s="352"/>
    </row>
    <row r="415" spans="1:11" ht="20.25">
      <c r="A415" s="352"/>
      <c r="B415" s="352"/>
      <c r="C415" s="352"/>
      <c r="D415" s="352"/>
      <c r="E415" s="352"/>
      <c r="F415" s="352"/>
      <c r="G415" s="352"/>
      <c r="H415" s="352"/>
      <c r="I415" s="352"/>
      <c r="J415" s="352"/>
      <c r="K415" s="352"/>
    </row>
    <row r="416" spans="1:11" ht="20.25">
      <c r="A416" s="352"/>
      <c r="B416" s="352"/>
      <c r="C416" s="352"/>
      <c r="D416" s="352"/>
      <c r="E416" s="352"/>
      <c r="F416" s="352"/>
      <c r="G416" s="352"/>
      <c r="H416" s="352"/>
      <c r="I416" s="352"/>
      <c r="J416" s="352"/>
      <c r="K416" s="352"/>
    </row>
    <row r="417" spans="1:11" ht="20.25">
      <c r="A417" s="352"/>
      <c r="B417" s="352"/>
      <c r="C417" s="352"/>
      <c r="D417" s="352"/>
      <c r="E417" s="352"/>
      <c r="F417" s="352"/>
      <c r="G417" s="352"/>
      <c r="H417" s="352"/>
      <c r="I417" s="352"/>
      <c r="J417" s="352"/>
      <c r="K417" s="352"/>
    </row>
    <row r="418" spans="1:11" ht="20.25">
      <c r="A418" s="352"/>
      <c r="B418" s="352"/>
      <c r="C418" s="352"/>
      <c r="D418" s="352"/>
      <c r="E418" s="352"/>
      <c r="F418" s="352"/>
      <c r="G418" s="352"/>
      <c r="H418" s="352"/>
      <c r="I418" s="352"/>
      <c r="J418" s="352"/>
      <c r="K418" s="352"/>
    </row>
    <row r="419" spans="1:11" ht="20.25">
      <c r="A419" s="352"/>
      <c r="B419" s="352"/>
      <c r="C419" s="352"/>
      <c r="D419" s="352"/>
      <c r="E419" s="352"/>
      <c r="F419" s="352"/>
      <c r="G419" s="352"/>
      <c r="H419" s="352"/>
      <c r="I419" s="352"/>
      <c r="J419" s="352"/>
      <c r="K419" s="352"/>
    </row>
    <row r="420" spans="1:11" ht="20.25">
      <c r="A420" s="352"/>
      <c r="B420" s="352"/>
      <c r="C420" s="352"/>
      <c r="D420" s="352"/>
      <c r="E420" s="352"/>
      <c r="F420" s="352"/>
      <c r="G420" s="352"/>
      <c r="H420" s="352"/>
      <c r="I420" s="352"/>
      <c r="J420" s="352"/>
      <c r="K420" s="352"/>
    </row>
    <row r="421" spans="1:11" ht="20.25">
      <c r="A421" s="352"/>
      <c r="B421" s="352"/>
      <c r="C421" s="352"/>
      <c r="D421" s="352"/>
      <c r="E421" s="352"/>
      <c r="F421" s="352"/>
      <c r="G421" s="352"/>
      <c r="H421" s="352"/>
      <c r="I421" s="352"/>
      <c r="J421" s="352"/>
      <c r="K421" s="352"/>
    </row>
    <row r="422" spans="1:11" ht="20.25">
      <c r="A422" s="352"/>
      <c r="B422" s="352"/>
      <c r="C422" s="352"/>
      <c r="D422" s="352"/>
      <c r="E422" s="352"/>
      <c r="F422" s="352"/>
      <c r="G422" s="352"/>
      <c r="H422" s="352"/>
      <c r="I422" s="352"/>
      <c r="J422" s="352"/>
      <c r="K422" s="352"/>
    </row>
    <row r="423" spans="1:11" ht="20.25">
      <c r="A423" s="352"/>
      <c r="B423" s="352"/>
      <c r="C423" s="352"/>
      <c r="D423" s="352"/>
      <c r="E423" s="352"/>
      <c r="F423" s="352"/>
      <c r="G423" s="352"/>
      <c r="H423" s="352"/>
      <c r="I423" s="352"/>
      <c r="J423" s="352"/>
      <c r="K423" s="352"/>
    </row>
    <row r="424" spans="1:11" ht="20.25">
      <c r="A424" s="352"/>
      <c r="B424" s="352"/>
      <c r="C424" s="352"/>
      <c r="D424" s="352"/>
      <c r="E424" s="352"/>
      <c r="F424" s="352"/>
      <c r="G424" s="352"/>
      <c r="H424" s="352"/>
      <c r="I424" s="352"/>
      <c r="J424" s="352"/>
      <c r="K424" s="352"/>
    </row>
    <row r="425" spans="1:11" ht="20.25">
      <c r="A425" s="352"/>
      <c r="B425" s="352"/>
      <c r="C425" s="352"/>
      <c r="D425" s="352"/>
      <c r="E425" s="352"/>
      <c r="F425" s="352"/>
      <c r="G425" s="352"/>
      <c r="H425" s="352"/>
      <c r="I425" s="352"/>
      <c r="J425" s="352"/>
      <c r="K425" s="352"/>
    </row>
    <row r="426" spans="1:11" ht="20.25">
      <c r="A426" s="352"/>
      <c r="B426" s="352"/>
      <c r="C426" s="352"/>
      <c r="D426" s="352"/>
      <c r="E426" s="352"/>
      <c r="F426" s="352"/>
      <c r="G426" s="352"/>
      <c r="H426" s="352"/>
      <c r="I426" s="352"/>
      <c r="J426" s="352"/>
      <c r="K426" s="352"/>
    </row>
    <row r="427" spans="1:11" ht="20.25">
      <c r="A427" s="352"/>
      <c r="B427" s="352"/>
      <c r="C427" s="352"/>
      <c r="D427" s="352"/>
      <c r="E427" s="352"/>
      <c r="F427" s="352"/>
      <c r="G427" s="352"/>
      <c r="H427" s="352"/>
      <c r="I427" s="352"/>
      <c r="J427" s="352"/>
      <c r="K427" s="352"/>
    </row>
    <row r="428" spans="1:11" ht="20.25">
      <c r="A428" s="352"/>
      <c r="B428" s="352"/>
      <c r="C428" s="352"/>
      <c r="D428" s="352"/>
      <c r="E428" s="352"/>
      <c r="F428" s="352"/>
      <c r="G428" s="352"/>
      <c r="H428" s="352"/>
      <c r="I428" s="352"/>
      <c r="J428" s="352"/>
      <c r="K428" s="352"/>
    </row>
    <row r="429" spans="1:11" ht="20.25">
      <c r="A429" s="352"/>
      <c r="B429" s="352"/>
      <c r="C429" s="352"/>
      <c r="D429" s="352"/>
      <c r="E429" s="352"/>
      <c r="F429" s="352"/>
      <c r="G429" s="352"/>
      <c r="H429" s="352"/>
      <c r="I429" s="352"/>
      <c r="J429" s="352"/>
      <c r="K429" s="352"/>
    </row>
    <row r="430" spans="1:11" ht="20.25">
      <c r="A430" s="352"/>
      <c r="B430" s="352"/>
      <c r="C430" s="352"/>
      <c r="D430" s="352"/>
      <c r="E430" s="352"/>
      <c r="F430" s="352"/>
      <c r="G430" s="352"/>
      <c r="H430" s="352"/>
      <c r="I430" s="352"/>
      <c r="J430" s="352"/>
      <c r="K430" s="352"/>
    </row>
    <row r="431" spans="1:11" ht="20.25">
      <c r="A431" s="352"/>
      <c r="B431" s="352"/>
      <c r="C431" s="352"/>
      <c r="D431" s="352"/>
      <c r="E431" s="352"/>
      <c r="F431" s="352"/>
      <c r="G431" s="352"/>
      <c r="H431" s="352"/>
      <c r="I431" s="352"/>
      <c r="J431" s="352"/>
      <c r="K431" s="352"/>
    </row>
    <row r="432" spans="1:11" ht="20.25">
      <c r="A432" s="352"/>
      <c r="B432" s="352"/>
      <c r="C432" s="352"/>
      <c r="D432" s="352"/>
      <c r="E432" s="352"/>
      <c r="F432" s="352"/>
      <c r="G432" s="352"/>
      <c r="H432" s="352"/>
      <c r="I432" s="352"/>
      <c r="J432" s="352"/>
      <c r="K432" s="352"/>
    </row>
    <row r="433" spans="1:11" ht="20.25">
      <c r="A433" s="352"/>
      <c r="B433" s="352"/>
      <c r="C433" s="352"/>
      <c r="D433" s="352"/>
      <c r="E433" s="352"/>
      <c r="F433" s="352"/>
      <c r="G433" s="352"/>
      <c r="H433" s="352"/>
      <c r="I433" s="352"/>
      <c r="J433" s="352"/>
      <c r="K433" s="352"/>
    </row>
    <row r="434" spans="1:11" ht="20.25">
      <c r="A434" s="352"/>
      <c r="B434" s="352"/>
      <c r="C434" s="352"/>
      <c r="D434" s="352"/>
      <c r="E434" s="352"/>
      <c r="F434" s="352"/>
      <c r="G434" s="352"/>
      <c r="H434" s="352"/>
      <c r="I434" s="352"/>
      <c r="J434" s="352"/>
      <c r="K434" s="352"/>
    </row>
    <row r="435" spans="1:11" ht="20.25">
      <c r="A435" s="352"/>
      <c r="B435" s="352"/>
      <c r="C435" s="352"/>
      <c r="D435" s="352"/>
      <c r="E435" s="352"/>
      <c r="F435" s="352"/>
      <c r="G435" s="352"/>
      <c r="H435" s="352"/>
      <c r="I435" s="352"/>
      <c r="J435" s="352"/>
      <c r="K435" s="352"/>
    </row>
    <row r="436" spans="1:11" ht="20.25">
      <c r="A436" s="352"/>
      <c r="B436" s="352"/>
      <c r="C436" s="352"/>
      <c r="D436" s="352"/>
      <c r="E436" s="352"/>
      <c r="F436" s="352"/>
      <c r="G436" s="352"/>
      <c r="H436" s="352"/>
      <c r="I436" s="352"/>
      <c r="J436" s="352"/>
      <c r="K436" s="352"/>
    </row>
    <row r="437" spans="1:11" ht="20.25">
      <c r="A437" s="352"/>
      <c r="B437" s="352"/>
      <c r="C437" s="352"/>
      <c r="D437" s="352"/>
      <c r="E437" s="352"/>
      <c r="F437" s="352"/>
      <c r="G437" s="352"/>
      <c r="H437" s="352"/>
      <c r="I437" s="352"/>
      <c r="J437" s="352"/>
      <c r="K437" s="352"/>
    </row>
    <row r="438" spans="1:11" ht="20.25">
      <c r="A438" s="352"/>
      <c r="B438" s="352"/>
      <c r="C438" s="352"/>
      <c r="D438" s="352"/>
      <c r="E438" s="352"/>
      <c r="F438" s="352"/>
      <c r="G438" s="352"/>
      <c r="H438" s="352"/>
      <c r="I438" s="352"/>
      <c r="J438" s="352"/>
      <c r="K438" s="352"/>
    </row>
    <row r="439" spans="1:11" ht="20.25">
      <c r="A439" s="352"/>
      <c r="B439" s="352"/>
      <c r="C439" s="352"/>
      <c r="D439" s="352"/>
      <c r="E439" s="352"/>
      <c r="F439" s="352"/>
      <c r="G439" s="352"/>
      <c r="H439" s="352"/>
      <c r="I439" s="352"/>
      <c r="J439" s="352"/>
      <c r="K439" s="352"/>
    </row>
    <row r="440" spans="1:11" ht="20.25">
      <c r="A440" s="352"/>
      <c r="B440" s="352"/>
      <c r="C440" s="352"/>
      <c r="D440" s="352"/>
      <c r="E440" s="352"/>
      <c r="F440" s="352"/>
      <c r="G440" s="352"/>
      <c r="H440" s="352"/>
      <c r="I440" s="352"/>
      <c r="J440" s="352"/>
      <c r="K440" s="352"/>
    </row>
    <row r="441" spans="1:11" ht="20.25">
      <c r="A441" s="352"/>
      <c r="B441" s="352"/>
      <c r="C441" s="352"/>
      <c r="D441" s="352"/>
      <c r="E441" s="352"/>
      <c r="F441" s="352"/>
      <c r="G441" s="352"/>
      <c r="H441" s="352"/>
      <c r="I441" s="352"/>
      <c r="J441" s="352"/>
      <c r="K441" s="352"/>
    </row>
    <row r="442" spans="1:11" ht="20.25">
      <c r="A442" s="352"/>
      <c r="B442" s="352"/>
      <c r="C442" s="352"/>
      <c r="D442" s="352"/>
      <c r="E442" s="352"/>
      <c r="F442" s="352"/>
      <c r="G442" s="352"/>
      <c r="H442" s="352"/>
      <c r="I442" s="352"/>
      <c r="J442" s="352"/>
      <c r="K442" s="352"/>
    </row>
    <row r="443" spans="1:11" ht="20.25">
      <c r="A443" s="352"/>
      <c r="B443" s="352"/>
      <c r="C443" s="352"/>
      <c r="D443" s="352"/>
      <c r="E443" s="352"/>
      <c r="F443" s="352"/>
      <c r="G443" s="352"/>
      <c r="H443" s="352"/>
      <c r="I443" s="352"/>
      <c r="J443" s="352"/>
      <c r="K443" s="352"/>
    </row>
    <row r="444" spans="1:11" ht="20.25">
      <c r="A444" s="352"/>
      <c r="B444" s="352"/>
      <c r="C444" s="352"/>
      <c r="D444" s="352"/>
      <c r="E444" s="352"/>
      <c r="F444" s="352"/>
      <c r="G444" s="352"/>
      <c r="H444" s="352"/>
      <c r="I444" s="352"/>
      <c r="J444" s="352"/>
      <c r="K444" s="352"/>
    </row>
    <row r="445" spans="1:11" ht="20.25">
      <c r="A445" s="352"/>
      <c r="B445" s="352"/>
      <c r="C445" s="352"/>
      <c r="D445" s="352"/>
      <c r="E445" s="352"/>
      <c r="F445" s="352"/>
      <c r="G445" s="352"/>
      <c r="H445" s="352"/>
      <c r="I445" s="352"/>
      <c r="J445" s="352"/>
      <c r="K445" s="352"/>
    </row>
    <row r="446" spans="1:11" ht="20.25">
      <c r="A446" s="352"/>
      <c r="B446" s="352"/>
      <c r="C446" s="352"/>
      <c r="D446" s="352"/>
      <c r="E446" s="352"/>
      <c r="F446" s="352"/>
      <c r="G446" s="352"/>
      <c r="H446" s="352"/>
      <c r="I446" s="352"/>
      <c r="J446" s="352"/>
      <c r="K446" s="352"/>
    </row>
    <row r="447" spans="1:11" ht="20.25">
      <c r="A447" s="352"/>
      <c r="B447" s="352"/>
      <c r="C447" s="352"/>
      <c r="D447" s="352"/>
      <c r="E447" s="352"/>
      <c r="F447" s="352"/>
      <c r="G447" s="352"/>
      <c r="H447" s="352"/>
      <c r="I447" s="352"/>
      <c r="J447" s="352"/>
      <c r="K447" s="352"/>
    </row>
    <row r="448" spans="1:11" ht="20.25">
      <c r="A448" s="352"/>
      <c r="B448" s="352"/>
      <c r="C448" s="352"/>
      <c r="D448" s="352"/>
      <c r="E448" s="352"/>
      <c r="F448" s="352"/>
      <c r="G448" s="352"/>
      <c r="H448" s="352"/>
      <c r="I448" s="352"/>
      <c r="J448" s="352"/>
      <c r="K448" s="352"/>
    </row>
    <row r="449" spans="1:11" ht="20.25">
      <c r="A449" s="352"/>
      <c r="B449" s="352"/>
      <c r="C449" s="352"/>
      <c r="D449" s="352"/>
      <c r="E449" s="352"/>
      <c r="F449" s="352"/>
      <c r="G449" s="352"/>
      <c r="H449" s="352"/>
      <c r="I449" s="352"/>
      <c r="J449" s="352"/>
      <c r="K449" s="352"/>
    </row>
    <row r="450" spans="1:11" ht="20.25">
      <c r="A450" s="352"/>
      <c r="B450" s="352"/>
      <c r="C450" s="352"/>
      <c r="D450" s="352"/>
      <c r="E450" s="352"/>
      <c r="F450" s="352"/>
      <c r="G450" s="352"/>
      <c r="H450" s="352"/>
      <c r="I450" s="352"/>
      <c r="J450" s="352"/>
      <c r="K450" s="352"/>
    </row>
    <row r="451" spans="1:11" ht="20.25">
      <c r="A451" s="352"/>
      <c r="B451" s="352"/>
      <c r="C451" s="352"/>
      <c r="D451" s="352"/>
      <c r="E451" s="352"/>
      <c r="F451" s="352"/>
      <c r="G451" s="352"/>
      <c r="H451" s="352"/>
      <c r="I451" s="352"/>
      <c r="J451" s="352"/>
      <c r="K451" s="352"/>
    </row>
    <row r="452" spans="1:11" ht="20.25">
      <c r="A452" s="352"/>
      <c r="B452" s="352"/>
      <c r="C452" s="352"/>
      <c r="D452" s="352"/>
      <c r="E452" s="352"/>
      <c r="F452" s="352"/>
      <c r="G452" s="352"/>
      <c r="H452" s="352"/>
      <c r="I452" s="352"/>
      <c r="J452" s="352"/>
      <c r="K452" s="352"/>
    </row>
    <row r="453" spans="1:11" ht="20.25">
      <c r="A453" s="352"/>
      <c r="B453" s="352"/>
      <c r="C453" s="352"/>
      <c r="D453" s="352"/>
      <c r="E453" s="352"/>
      <c r="F453" s="352"/>
      <c r="G453" s="352"/>
      <c r="H453" s="352"/>
      <c r="I453" s="352"/>
      <c r="J453" s="352"/>
      <c r="K453" s="352"/>
    </row>
    <row r="454" spans="1:11" ht="20.25">
      <c r="A454" s="352"/>
      <c r="B454" s="352"/>
      <c r="C454" s="352"/>
      <c r="D454" s="352"/>
      <c r="E454" s="352"/>
      <c r="F454" s="352"/>
      <c r="G454" s="352"/>
      <c r="H454" s="352"/>
      <c r="I454" s="352"/>
      <c r="J454" s="352"/>
      <c r="K454" s="352"/>
    </row>
    <row r="455" spans="1:11" ht="20.25">
      <c r="A455" s="352"/>
      <c r="B455" s="352"/>
      <c r="C455" s="352"/>
      <c r="D455" s="352"/>
      <c r="E455" s="352"/>
      <c r="F455" s="352"/>
      <c r="G455" s="352"/>
      <c r="H455" s="352"/>
      <c r="I455" s="352"/>
      <c r="J455" s="352"/>
      <c r="K455" s="352"/>
    </row>
    <row r="456" spans="1:11" ht="20.25">
      <c r="A456" s="352"/>
      <c r="B456" s="352"/>
      <c r="C456" s="352"/>
      <c r="D456" s="352"/>
      <c r="E456" s="352"/>
      <c r="F456" s="352"/>
      <c r="G456" s="352"/>
      <c r="H456" s="352"/>
      <c r="I456" s="352"/>
      <c r="J456" s="352"/>
      <c r="K456" s="352"/>
    </row>
    <row r="457" spans="1:11" ht="20.25">
      <c r="A457" s="352"/>
      <c r="B457" s="352"/>
      <c r="C457" s="352"/>
      <c r="D457" s="352"/>
      <c r="E457" s="352"/>
      <c r="F457" s="352"/>
      <c r="G457" s="352"/>
      <c r="H457" s="352"/>
      <c r="I457" s="352"/>
      <c r="J457" s="352"/>
      <c r="K457" s="352"/>
    </row>
    <row r="458" spans="1:11" ht="20.25">
      <c r="A458" s="352"/>
      <c r="B458" s="352"/>
      <c r="C458" s="352"/>
      <c r="D458" s="352"/>
      <c r="E458" s="352"/>
      <c r="F458" s="352"/>
      <c r="G458" s="352"/>
      <c r="H458" s="352"/>
      <c r="I458" s="352"/>
      <c r="J458" s="352"/>
      <c r="K458" s="352"/>
    </row>
    <row r="459" spans="1:11" ht="20.25">
      <c r="A459" s="352"/>
      <c r="B459" s="352"/>
      <c r="C459" s="352"/>
      <c r="D459" s="352"/>
      <c r="E459" s="352"/>
      <c r="F459" s="352"/>
      <c r="G459" s="352"/>
      <c r="H459" s="352"/>
      <c r="I459" s="352"/>
      <c r="J459" s="352"/>
      <c r="K459" s="352"/>
    </row>
    <row r="460" spans="1:11" ht="20.25">
      <c r="A460" s="352"/>
      <c r="B460" s="352"/>
      <c r="C460" s="352"/>
      <c r="D460" s="352"/>
      <c r="E460" s="352"/>
      <c r="F460" s="352"/>
      <c r="G460" s="352"/>
      <c r="H460" s="352"/>
      <c r="I460" s="352"/>
      <c r="J460" s="352"/>
      <c r="K460" s="352"/>
    </row>
    <row r="461" spans="1:11" ht="20.25">
      <c r="A461" s="352"/>
      <c r="B461" s="352"/>
      <c r="C461" s="352"/>
      <c r="D461" s="352"/>
      <c r="E461" s="352"/>
      <c r="F461" s="352"/>
      <c r="G461" s="352"/>
      <c r="H461" s="352"/>
      <c r="I461" s="352"/>
      <c r="J461" s="352"/>
      <c r="K461" s="352"/>
    </row>
    <row r="462" spans="1:11" ht="20.25">
      <c r="A462" s="352"/>
      <c r="B462" s="352"/>
      <c r="C462" s="352"/>
      <c r="D462" s="352"/>
      <c r="E462" s="352"/>
      <c r="F462" s="352"/>
      <c r="G462" s="352"/>
      <c r="H462" s="352"/>
      <c r="I462" s="352"/>
      <c r="J462" s="352"/>
      <c r="K462" s="352"/>
    </row>
    <row r="463" spans="1:11" ht="20.25">
      <c r="A463" s="352"/>
      <c r="B463" s="352"/>
      <c r="C463" s="352"/>
      <c r="D463" s="352"/>
      <c r="E463" s="352"/>
      <c r="F463" s="352"/>
      <c r="G463" s="352"/>
      <c r="H463" s="352"/>
      <c r="I463" s="352"/>
      <c r="J463" s="352"/>
      <c r="K463" s="352"/>
    </row>
    <row r="464" spans="1:11" ht="20.25">
      <c r="A464" s="352"/>
      <c r="B464" s="352"/>
      <c r="C464" s="352"/>
      <c r="D464" s="352"/>
      <c r="E464" s="352"/>
      <c r="F464" s="352"/>
      <c r="G464" s="352"/>
      <c r="H464" s="352"/>
      <c r="I464" s="352"/>
      <c r="J464" s="352"/>
      <c r="K464" s="352"/>
    </row>
    <row r="465" spans="1:11" ht="20.25">
      <c r="A465" s="352"/>
      <c r="B465" s="352"/>
      <c r="C465" s="352"/>
      <c r="D465" s="352"/>
      <c r="E465" s="352"/>
      <c r="F465" s="352"/>
      <c r="G465" s="352"/>
      <c r="H465" s="352"/>
      <c r="I465" s="352"/>
      <c r="J465" s="352"/>
      <c r="K465" s="352"/>
    </row>
    <row r="466" spans="1:11" ht="20.25">
      <c r="A466" s="352"/>
      <c r="B466" s="352"/>
      <c r="C466" s="352"/>
      <c r="D466" s="352"/>
      <c r="E466" s="352"/>
      <c r="F466" s="352"/>
      <c r="G466" s="352"/>
      <c r="H466" s="352"/>
      <c r="I466" s="352"/>
      <c r="J466" s="352"/>
      <c r="K466" s="352"/>
    </row>
    <row r="467" spans="1:11" ht="20.25">
      <c r="A467" s="352"/>
      <c r="B467" s="352"/>
      <c r="C467" s="352"/>
      <c r="D467" s="352"/>
      <c r="E467" s="352"/>
      <c r="F467" s="352"/>
      <c r="G467" s="352"/>
      <c r="H467" s="352"/>
      <c r="I467" s="352"/>
      <c r="J467" s="352"/>
      <c r="K467" s="352"/>
    </row>
    <row r="468" spans="1:11" ht="20.25">
      <c r="A468" s="352"/>
      <c r="B468" s="352"/>
      <c r="C468" s="352"/>
      <c r="D468" s="352"/>
      <c r="E468" s="352"/>
      <c r="F468" s="352"/>
      <c r="G468" s="352"/>
      <c r="H468" s="352"/>
      <c r="I468" s="352"/>
      <c r="J468" s="352"/>
      <c r="K468" s="352"/>
    </row>
    <row r="469" spans="1:11" ht="20.25">
      <c r="A469" s="352"/>
      <c r="B469" s="352"/>
      <c r="C469" s="352"/>
      <c r="D469" s="352"/>
      <c r="E469" s="352"/>
      <c r="F469" s="352"/>
      <c r="G469" s="352"/>
      <c r="H469" s="352"/>
      <c r="I469" s="352"/>
      <c r="J469" s="352"/>
      <c r="K469" s="352"/>
    </row>
    <row r="470" spans="1:11" ht="20.25">
      <c r="A470" s="352"/>
      <c r="B470" s="352"/>
      <c r="C470" s="352"/>
      <c r="D470" s="352"/>
      <c r="E470" s="352"/>
      <c r="F470" s="352"/>
      <c r="G470" s="352"/>
      <c r="H470" s="352"/>
      <c r="I470" s="352"/>
      <c r="J470" s="352"/>
      <c r="K470" s="352"/>
    </row>
    <row r="471" spans="1:11" ht="20.25">
      <c r="A471" s="352"/>
      <c r="B471" s="352"/>
      <c r="C471" s="352"/>
      <c r="D471" s="352"/>
      <c r="E471" s="352"/>
      <c r="F471" s="352"/>
      <c r="G471" s="352"/>
      <c r="H471" s="352"/>
      <c r="I471" s="352"/>
      <c r="J471" s="352"/>
      <c r="K471" s="352"/>
    </row>
    <row r="472" spans="1:11" ht="20.25">
      <c r="A472" s="352"/>
      <c r="B472" s="352"/>
      <c r="C472" s="352"/>
      <c r="D472" s="352"/>
      <c r="E472" s="352"/>
      <c r="F472" s="352"/>
      <c r="G472" s="352"/>
      <c r="H472" s="352"/>
      <c r="I472" s="352"/>
      <c r="J472" s="352"/>
      <c r="K472" s="352"/>
    </row>
    <row r="473" spans="1:11" ht="20.25">
      <c r="A473" s="352"/>
      <c r="B473" s="352"/>
      <c r="C473" s="352"/>
      <c r="D473" s="352"/>
      <c r="E473" s="352"/>
      <c r="F473" s="352"/>
      <c r="G473" s="352"/>
      <c r="H473" s="352"/>
      <c r="I473" s="352"/>
      <c r="J473" s="352"/>
      <c r="K473" s="352"/>
    </row>
    <row r="474" spans="1:11" ht="20.25">
      <c r="A474" s="352"/>
      <c r="B474" s="352"/>
      <c r="C474" s="352"/>
      <c r="D474" s="352"/>
      <c r="E474" s="352"/>
      <c r="F474" s="352"/>
      <c r="G474" s="352"/>
      <c r="H474" s="352"/>
      <c r="I474" s="352"/>
      <c r="J474" s="352"/>
      <c r="K474" s="352"/>
    </row>
    <row r="475" spans="1:11" ht="20.25">
      <c r="A475" s="352"/>
      <c r="B475" s="352"/>
      <c r="C475" s="352"/>
      <c r="D475" s="352"/>
      <c r="E475" s="352"/>
      <c r="F475" s="352"/>
      <c r="G475" s="352"/>
      <c r="H475" s="352"/>
      <c r="I475" s="352"/>
      <c r="J475" s="352"/>
      <c r="K475" s="352"/>
    </row>
    <row r="476" spans="1:11" ht="20.25">
      <c r="A476" s="352"/>
      <c r="B476" s="352"/>
      <c r="C476" s="352"/>
      <c r="D476" s="352"/>
      <c r="E476" s="352"/>
      <c r="F476" s="352"/>
      <c r="G476" s="352"/>
      <c r="H476" s="352"/>
      <c r="I476" s="352"/>
      <c r="J476" s="352"/>
      <c r="K476" s="352"/>
    </row>
    <row r="477" spans="1:11" ht="20.25">
      <c r="A477" s="352"/>
      <c r="B477" s="352"/>
      <c r="C477" s="352"/>
      <c r="D477" s="352"/>
      <c r="E477" s="352"/>
      <c r="F477" s="352"/>
      <c r="G477" s="352"/>
      <c r="H477" s="352"/>
      <c r="I477" s="352"/>
      <c r="J477" s="352"/>
      <c r="K477" s="352"/>
    </row>
    <row r="478" spans="1:11" ht="20.25">
      <c r="A478" s="352"/>
      <c r="B478" s="352"/>
      <c r="C478" s="352"/>
      <c r="D478" s="352"/>
      <c r="E478" s="352"/>
      <c r="F478" s="352"/>
      <c r="G478" s="352"/>
      <c r="H478" s="352"/>
      <c r="I478" s="352"/>
      <c r="J478" s="352"/>
      <c r="K478" s="352"/>
    </row>
    <row r="479" spans="1:11" ht="20.25">
      <c r="A479" s="352"/>
      <c r="B479" s="352"/>
      <c r="C479" s="352"/>
      <c r="D479" s="352"/>
      <c r="E479" s="352"/>
      <c r="F479" s="352"/>
      <c r="G479" s="352"/>
      <c r="H479" s="352"/>
      <c r="I479" s="352"/>
      <c r="J479" s="352"/>
      <c r="K479" s="352"/>
    </row>
    <row r="480" spans="1:11" ht="20.25">
      <c r="A480" s="352"/>
      <c r="B480" s="352"/>
      <c r="C480" s="352"/>
      <c r="D480" s="352"/>
      <c r="E480" s="352"/>
      <c r="F480" s="352"/>
      <c r="G480" s="352"/>
      <c r="H480" s="352"/>
      <c r="I480" s="352"/>
      <c r="J480" s="352"/>
      <c r="K480" s="352"/>
    </row>
    <row r="481" spans="1:11" ht="20.25">
      <c r="A481" s="352"/>
      <c r="B481" s="352"/>
      <c r="C481" s="352"/>
      <c r="D481" s="352"/>
      <c r="E481" s="352"/>
      <c r="F481" s="352"/>
      <c r="G481" s="352"/>
      <c r="H481" s="352"/>
      <c r="I481" s="352"/>
      <c r="J481" s="352"/>
      <c r="K481" s="352"/>
    </row>
    <row r="482" spans="1:11" ht="20.25">
      <c r="A482" s="352"/>
      <c r="B482" s="352"/>
      <c r="C482" s="352"/>
      <c r="D482" s="352"/>
      <c r="E482" s="352"/>
      <c r="F482" s="352"/>
      <c r="G482" s="352"/>
      <c r="H482" s="352"/>
      <c r="I482" s="352"/>
      <c r="J482" s="352"/>
      <c r="K482" s="352"/>
    </row>
    <row r="483" spans="1:11" ht="20.25">
      <c r="A483" s="352"/>
      <c r="B483" s="352"/>
      <c r="C483" s="352"/>
      <c r="D483" s="352"/>
      <c r="E483" s="352"/>
      <c r="F483" s="352"/>
      <c r="G483" s="352"/>
      <c r="H483" s="352"/>
      <c r="I483" s="352"/>
      <c r="J483" s="352"/>
      <c r="K483" s="352"/>
    </row>
    <row r="484" spans="1:11" ht="20.25">
      <c r="A484" s="352"/>
      <c r="B484" s="352"/>
      <c r="C484" s="352"/>
      <c r="D484" s="352"/>
      <c r="E484" s="352"/>
      <c r="F484" s="352"/>
      <c r="G484" s="352"/>
      <c r="H484" s="352"/>
      <c r="I484" s="352"/>
      <c r="J484" s="352"/>
      <c r="K484" s="352"/>
    </row>
    <row r="485" spans="1:11" ht="20.25">
      <c r="A485" s="352"/>
      <c r="B485" s="352"/>
      <c r="C485" s="352"/>
      <c r="D485" s="352"/>
      <c r="E485" s="352"/>
      <c r="F485" s="352"/>
      <c r="G485" s="352"/>
      <c r="H485" s="352"/>
      <c r="I485" s="352"/>
      <c r="J485" s="352"/>
      <c r="K485" s="352"/>
    </row>
    <row r="486" spans="1:11" ht="20.25">
      <c r="A486" s="352"/>
      <c r="B486" s="352"/>
      <c r="C486" s="352"/>
      <c r="D486" s="352"/>
      <c r="E486" s="352"/>
      <c r="F486" s="352"/>
      <c r="G486" s="352"/>
      <c r="H486" s="352"/>
      <c r="I486" s="352"/>
      <c r="J486" s="352"/>
      <c r="K486" s="352"/>
    </row>
    <row r="487" spans="1:11" ht="20.25">
      <c r="A487" s="352"/>
      <c r="B487" s="352"/>
      <c r="C487" s="352"/>
      <c r="D487" s="352"/>
      <c r="E487" s="352"/>
      <c r="F487" s="352"/>
      <c r="G487" s="352"/>
      <c r="H487" s="352"/>
      <c r="I487" s="352"/>
      <c r="J487" s="352"/>
      <c r="K487" s="352"/>
    </row>
    <row r="488" spans="1:11" ht="20.25">
      <c r="A488" s="352"/>
      <c r="B488" s="352"/>
      <c r="C488" s="352"/>
      <c r="D488" s="352"/>
      <c r="E488" s="352"/>
      <c r="F488" s="352"/>
      <c r="G488" s="352"/>
      <c r="H488" s="352"/>
      <c r="I488" s="352"/>
      <c r="J488" s="352"/>
      <c r="K488" s="352"/>
    </row>
    <row r="489" spans="1:11" ht="20.25">
      <c r="A489" s="352"/>
      <c r="B489" s="352"/>
      <c r="C489" s="352"/>
      <c r="D489" s="352"/>
      <c r="E489" s="352"/>
      <c r="F489" s="352"/>
      <c r="G489" s="352"/>
      <c r="H489" s="352"/>
      <c r="I489" s="352"/>
      <c r="J489" s="352"/>
      <c r="K489" s="352"/>
    </row>
    <row r="490" spans="1:11" ht="20.25">
      <c r="A490" s="352"/>
      <c r="B490" s="352"/>
      <c r="C490" s="352"/>
      <c r="D490" s="352"/>
      <c r="E490" s="352"/>
      <c r="F490" s="352"/>
      <c r="G490" s="352"/>
      <c r="H490" s="352"/>
      <c r="I490" s="352"/>
      <c r="J490" s="352"/>
      <c r="K490" s="352"/>
    </row>
    <row r="491" spans="1:11" ht="20.25">
      <c r="A491" s="352"/>
      <c r="B491" s="352"/>
      <c r="C491" s="352"/>
      <c r="D491" s="352"/>
      <c r="E491" s="352"/>
      <c r="F491" s="352"/>
      <c r="G491" s="352"/>
      <c r="H491" s="352"/>
      <c r="I491" s="352"/>
      <c r="J491" s="352"/>
      <c r="K491" s="352"/>
    </row>
    <row r="492" spans="1:11" ht="20.25">
      <c r="A492" s="352"/>
      <c r="B492" s="352"/>
      <c r="C492" s="352"/>
      <c r="D492" s="352"/>
      <c r="E492" s="352"/>
      <c r="F492" s="352"/>
      <c r="G492" s="352"/>
      <c r="H492" s="352"/>
      <c r="I492" s="352"/>
      <c r="J492" s="352"/>
      <c r="K492" s="352"/>
    </row>
    <row r="493" spans="1:11" ht="20.25">
      <c r="A493" s="352"/>
      <c r="B493" s="352"/>
      <c r="C493" s="352"/>
      <c r="D493" s="352"/>
      <c r="E493" s="352"/>
      <c r="F493" s="352"/>
      <c r="G493" s="352"/>
      <c r="H493" s="352"/>
      <c r="I493" s="352"/>
      <c r="J493" s="352"/>
      <c r="K493" s="352"/>
    </row>
    <row r="494" spans="1:11" ht="20.25">
      <c r="A494" s="352"/>
      <c r="B494" s="352"/>
      <c r="C494" s="352"/>
      <c r="D494" s="352"/>
      <c r="E494" s="352"/>
      <c r="F494" s="352"/>
      <c r="G494" s="352"/>
      <c r="H494" s="352"/>
      <c r="I494" s="352"/>
      <c r="J494" s="352"/>
      <c r="K494" s="352"/>
    </row>
    <row r="495" spans="1:11" ht="20.25">
      <c r="A495" s="352"/>
      <c r="B495" s="352"/>
      <c r="C495" s="352"/>
      <c r="D495" s="352"/>
      <c r="E495" s="352"/>
      <c r="F495" s="352"/>
      <c r="G495" s="352"/>
      <c r="H495" s="352"/>
      <c r="I495" s="352"/>
      <c r="J495" s="352"/>
      <c r="K495" s="352"/>
    </row>
    <row r="496" spans="1:11" ht="20.25">
      <c r="A496" s="352"/>
      <c r="B496" s="352"/>
      <c r="C496" s="352"/>
      <c r="D496" s="352"/>
      <c r="E496" s="352"/>
      <c r="F496" s="352"/>
      <c r="G496" s="352"/>
      <c r="H496" s="352"/>
      <c r="I496" s="352"/>
      <c r="J496" s="352"/>
      <c r="K496" s="352"/>
    </row>
    <row r="497" spans="1:11" ht="20.25">
      <c r="A497" s="352"/>
      <c r="B497" s="352"/>
      <c r="C497" s="352"/>
      <c r="D497" s="352"/>
      <c r="E497" s="352"/>
      <c r="F497" s="352"/>
      <c r="G497" s="352"/>
      <c r="H497" s="352"/>
      <c r="I497" s="352"/>
      <c r="J497" s="352"/>
      <c r="K497" s="352"/>
    </row>
    <row r="498" spans="1:11" ht="20.25">
      <c r="A498" s="352"/>
      <c r="B498" s="352"/>
      <c r="C498" s="352"/>
      <c r="D498" s="352"/>
      <c r="E498" s="352"/>
      <c r="F498" s="352"/>
      <c r="G498" s="352"/>
      <c r="H498" s="352"/>
      <c r="I498" s="352"/>
      <c r="J498" s="352"/>
      <c r="K498" s="352"/>
    </row>
    <row r="499" spans="1:11" ht="20.25">
      <c r="A499" s="352"/>
      <c r="B499" s="352"/>
      <c r="C499" s="352"/>
      <c r="D499" s="352"/>
      <c r="E499" s="352"/>
      <c r="F499" s="352"/>
      <c r="G499" s="352"/>
      <c r="H499" s="352"/>
      <c r="I499" s="352"/>
      <c r="J499" s="352"/>
      <c r="K499" s="352"/>
    </row>
    <row r="500" spans="1:11" ht="20.25">
      <c r="A500" s="352"/>
      <c r="B500" s="352"/>
      <c r="C500" s="352"/>
      <c r="D500" s="352"/>
      <c r="E500" s="352"/>
      <c r="F500" s="352"/>
      <c r="G500" s="352"/>
      <c r="H500" s="352"/>
      <c r="I500" s="352"/>
      <c r="J500" s="352"/>
      <c r="K500" s="352"/>
    </row>
    <row r="501" spans="1:11" ht="20.25">
      <c r="A501" s="352"/>
      <c r="B501" s="352"/>
      <c r="C501" s="352"/>
      <c r="D501" s="352"/>
      <c r="E501" s="352"/>
      <c r="F501" s="352"/>
      <c r="G501" s="352"/>
      <c r="H501" s="352"/>
      <c r="I501" s="352"/>
      <c r="J501" s="352"/>
      <c r="K501" s="352"/>
    </row>
    <row r="502" spans="1:11" ht="20.25">
      <c r="A502" s="352"/>
      <c r="B502" s="352"/>
      <c r="C502" s="352"/>
      <c r="D502" s="352"/>
      <c r="E502" s="352"/>
      <c r="F502" s="352"/>
      <c r="G502" s="352"/>
      <c r="H502" s="352"/>
      <c r="I502" s="352"/>
      <c r="J502" s="352"/>
      <c r="K502" s="352"/>
    </row>
    <row r="503" spans="1:11" ht="20.25">
      <c r="A503" s="352"/>
      <c r="B503" s="352"/>
      <c r="C503" s="352"/>
      <c r="D503" s="352"/>
      <c r="E503" s="352"/>
      <c r="F503" s="352"/>
      <c r="G503" s="352"/>
      <c r="H503" s="352"/>
      <c r="I503" s="352"/>
      <c r="J503" s="352"/>
      <c r="K503" s="352"/>
    </row>
    <row r="504" spans="1:11" ht="20.25">
      <c r="A504" s="352"/>
      <c r="B504" s="352"/>
      <c r="C504" s="352"/>
      <c r="D504" s="352"/>
      <c r="E504" s="352"/>
      <c r="F504" s="352"/>
      <c r="G504" s="352"/>
      <c r="H504" s="352"/>
      <c r="I504" s="352"/>
      <c r="J504" s="352"/>
      <c r="K504" s="352"/>
    </row>
    <row r="505" spans="1:11" ht="20.25">
      <c r="A505" s="352"/>
      <c r="B505" s="352"/>
      <c r="C505" s="352"/>
      <c r="D505" s="352"/>
      <c r="E505" s="352"/>
      <c r="F505" s="352"/>
      <c r="G505" s="352"/>
      <c r="H505" s="352"/>
      <c r="I505" s="352"/>
      <c r="J505" s="352"/>
      <c r="K505" s="352"/>
    </row>
    <row r="506" spans="1:11" ht="20.25">
      <c r="A506" s="352"/>
      <c r="B506" s="352"/>
      <c r="C506" s="352"/>
      <c r="D506" s="352"/>
      <c r="E506" s="352"/>
      <c r="F506" s="352"/>
      <c r="G506" s="352"/>
      <c r="H506" s="352"/>
      <c r="I506" s="352"/>
      <c r="J506" s="352"/>
      <c r="K506" s="352"/>
    </row>
    <row r="507" spans="1:11" ht="20.25">
      <c r="A507" s="352"/>
      <c r="B507" s="352"/>
      <c r="C507" s="352"/>
      <c r="D507" s="352"/>
      <c r="E507" s="352"/>
      <c r="F507" s="352"/>
      <c r="G507" s="352"/>
      <c r="H507" s="352"/>
      <c r="I507" s="352"/>
      <c r="J507" s="352"/>
      <c r="K507" s="352"/>
    </row>
    <row r="508" spans="1:11" ht="20.25">
      <c r="A508" s="352"/>
      <c r="B508" s="352"/>
      <c r="C508" s="352"/>
      <c r="D508" s="352"/>
      <c r="E508" s="352"/>
      <c r="F508" s="352"/>
      <c r="G508" s="352"/>
      <c r="H508" s="352"/>
      <c r="I508" s="352"/>
      <c r="J508" s="352"/>
      <c r="K508" s="352"/>
    </row>
    <row r="509" spans="1:11" ht="20.25">
      <c r="A509" s="352"/>
      <c r="B509" s="352"/>
      <c r="C509" s="352"/>
      <c r="D509" s="352"/>
      <c r="E509" s="352"/>
      <c r="F509" s="352"/>
      <c r="G509" s="352"/>
      <c r="H509" s="352"/>
      <c r="I509" s="352"/>
      <c r="J509" s="352"/>
      <c r="K509" s="352"/>
    </row>
    <row r="510" spans="1:11" ht="20.25">
      <c r="A510" s="352"/>
      <c r="B510" s="352"/>
      <c r="C510" s="352"/>
      <c r="D510" s="352"/>
      <c r="E510" s="352"/>
      <c r="F510" s="352"/>
      <c r="G510" s="352"/>
      <c r="H510" s="352"/>
      <c r="I510" s="352"/>
      <c r="J510" s="352"/>
      <c r="K510" s="352"/>
    </row>
    <row r="511" spans="1:11" ht="20.25">
      <c r="A511" s="352"/>
      <c r="B511" s="352"/>
      <c r="C511" s="352"/>
      <c r="D511" s="352"/>
      <c r="E511" s="352"/>
      <c r="F511" s="352"/>
      <c r="G511" s="352"/>
      <c r="H511" s="352"/>
      <c r="I511" s="352"/>
      <c r="J511" s="352"/>
      <c r="K511" s="352"/>
    </row>
    <row r="512" spans="1:11" ht="20.25">
      <c r="A512" s="352"/>
      <c r="B512" s="352"/>
      <c r="C512" s="352"/>
      <c r="D512" s="352"/>
      <c r="E512" s="352"/>
      <c r="F512" s="352"/>
      <c r="G512" s="352"/>
      <c r="H512" s="352"/>
      <c r="I512" s="352"/>
      <c r="J512" s="352"/>
      <c r="K512" s="352"/>
    </row>
    <row r="513" spans="1:11" ht="20.25">
      <c r="A513" s="352"/>
      <c r="B513" s="352"/>
      <c r="C513" s="352"/>
      <c r="D513" s="352"/>
      <c r="E513" s="352"/>
      <c r="F513" s="352"/>
      <c r="G513" s="352"/>
      <c r="H513" s="352"/>
      <c r="I513" s="352"/>
      <c r="J513" s="352"/>
      <c r="K513" s="352"/>
    </row>
    <row r="514" spans="1:11" ht="20.25">
      <c r="A514" s="352"/>
      <c r="B514" s="352"/>
      <c r="C514" s="352"/>
      <c r="D514" s="352"/>
      <c r="E514" s="352"/>
      <c r="F514" s="352"/>
      <c r="G514" s="352"/>
      <c r="H514" s="352"/>
      <c r="I514" s="352"/>
      <c r="J514" s="352"/>
      <c r="K514" s="352"/>
    </row>
    <row r="515" spans="1:11" ht="20.25">
      <c r="A515" s="352"/>
      <c r="B515" s="352"/>
      <c r="C515" s="352"/>
      <c r="D515" s="352"/>
      <c r="E515" s="352"/>
      <c r="F515" s="352"/>
      <c r="G515" s="352"/>
      <c r="H515" s="352"/>
      <c r="I515" s="352"/>
      <c r="J515" s="352"/>
      <c r="K515" s="352"/>
    </row>
    <row r="516" spans="1:11" ht="20.25">
      <c r="A516" s="352"/>
      <c r="B516" s="352"/>
      <c r="C516" s="352"/>
      <c r="D516" s="352"/>
      <c r="E516" s="352"/>
      <c r="F516" s="352"/>
      <c r="G516" s="352"/>
      <c r="H516" s="352"/>
      <c r="I516" s="352"/>
      <c r="J516" s="352"/>
      <c r="K516" s="352"/>
    </row>
    <row r="517" spans="1:11" ht="20.25">
      <c r="A517" s="352"/>
      <c r="B517" s="352"/>
      <c r="C517" s="352"/>
      <c r="D517" s="352"/>
      <c r="E517" s="352"/>
      <c r="F517" s="352"/>
      <c r="G517" s="352"/>
      <c r="H517" s="352"/>
      <c r="I517" s="352"/>
      <c r="J517" s="352"/>
      <c r="K517" s="352"/>
    </row>
    <row r="518" spans="1:11" ht="20.25">
      <c r="A518" s="352"/>
      <c r="B518" s="352"/>
      <c r="C518" s="352"/>
      <c r="D518" s="352"/>
      <c r="E518" s="352"/>
      <c r="F518" s="352"/>
      <c r="G518" s="352"/>
      <c r="H518" s="352"/>
      <c r="I518" s="352"/>
      <c r="J518" s="352"/>
      <c r="K518" s="352"/>
    </row>
    <row r="519" spans="1:11" ht="20.25">
      <c r="A519" s="352"/>
      <c r="B519" s="352"/>
      <c r="C519" s="352"/>
      <c r="D519" s="352"/>
      <c r="E519" s="352"/>
      <c r="F519" s="352"/>
      <c r="G519" s="352"/>
      <c r="H519" s="352"/>
      <c r="I519" s="352"/>
      <c r="J519" s="352"/>
      <c r="K519" s="352"/>
    </row>
    <row r="520" spans="1:11" ht="20.25">
      <c r="A520" s="352"/>
      <c r="B520" s="352"/>
      <c r="C520" s="352"/>
      <c r="D520" s="352"/>
      <c r="E520" s="352"/>
      <c r="F520" s="352"/>
      <c r="G520" s="352"/>
      <c r="H520" s="352"/>
      <c r="I520" s="352"/>
      <c r="J520" s="352"/>
      <c r="K520" s="352"/>
    </row>
    <row r="521" spans="1:11" ht="20.25">
      <c r="A521" s="352"/>
      <c r="B521" s="352"/>
      <c r="C521" s="352"/>
      <c r="D521" s="352"/>
      <c r="E521" s="352"/>
      <c r="F521" s="352"/>
      <c r="G521" s="352"/>
      <c r="H521" s="352"/>
      <c r="I521" s="352"/>
      <c r="J521" s="352"/>
      <c r="K521" s="352"/>
    </row>
    <row r="522" spans="1:11" ht="20.25">
      <c r="A522" s="352"/>
      <c r="B522" s="352"/>
      <c r="C522" s="352"/>
      <c r="D522" s="352"/>
      <c r="E522" s="352"/>
      <c r="F522" s="352"/>
      <c r="G522" s="352"/>
      <c r="H522" s="352"/>
      <c r="I522" s="352"/>
      <c r="J522" s="352"/>
      <c r="K522" s="352"/>
    </row>
    <row r="523" spans="1:11" ht="20.25">
      <c r="A523" s="352"/>
      <c r="B523" s="352"/>
      <c r="C523" s="352"/>
      <c r="D523" s="352"/>
      <c r="E523" s="352"/>
      <c r="F523" s="352"/>
      <c r="G523" s="352"/>
      <c r="H523" s="352"/>
      <c r="I523" s="352"/>
      <c r="J523" s="352"/>
      <c r="K523" s="352"/>
    </row>
    <row r="524" spans="1:11" ht="20.25">
      <c r="A524" s="352"/>
      <c r="B524" s="352"/>
      <c r="C524" s="352"/>
      <c r="D524" s="352"/>
      <c r="E524" s="352"/>
      <c r="F524" s="352"/>
      <c r="G524" s="352"/>
      <c r="H524" s="352"/>
      <c r="I524" s="352"/>
      <c r="J524" s="352"/>
      <c r="K524" s="352"/>
    </row>
    <row r="525" spans="1:11" ht="20.25">
      <c r="A525" s="352"/>
      <c r="B525" s="352"/>
      <c r="C525" s="352"/>
      <c r="D525" s="352"/>
      <c r="E525" s="352"/>
      <c r="F525" s="352"/>
      <c r="G525" s="352"/>
      <c r="H525" s="352"/>
      <c r="I525" s="352"/>
      <c r="J525" s="352"/>
      <c r="K525" s="352"/>
    </row>
    <row r="526" spans="1:11" ht="20.25">
      <c r="A526" s="352"/>
      <c r="B526" s="352"/>
      <c r="C526" s="352"/>
      <c r="D526" s="352"/>
      <c r="E526" s="352"/>
      <c r="F526" s="352"/>
      <c r="G526" s="352"/>
      <c r="H526" s="352"/>
      <c r="I526" s="352"/>
      <c r="J526" s="352"/>
      <c r="K526" s="352"/>
    </row>
    <row r="527" spans="1:11" ht="20.25">
      <c r="A527" s="352"/>
      <c r="B527" s="352"/>
      <c r="C527" s="352"/>
      <c r="D527" s="352"/>
      <c r="E527" s="352"/>
      <c r="F527" s="352"/>
      <c r="G527" s="352"/>
      <c r="H527" s="352"/>
      <c r="I527" s="352"/>
      <c r="J527" s="352"/>
      <c r="K527" s="352"/>
    </row>
    <row r="528" spans="1:11" ht="20.25">
      <c r="A528" s="352"/>
      <c r="B528" s="352"/>
      <c r="C528" s="352"/>
      <c r="D528" s="352"/>
      <c r="E528" s="352"/>
      <c r="F528" s="352"/>
      <c r="G528" s="352"/>
      <c r="H528" s="352"/>
      <c r="I528" s="352"/>
      <c r="J528" s="352"/>
      <c r="K528" s="352"/>
    </row>
    <row r="529" spans="1:11" ht="20.25">
      <c r="A529" s="352"/>
      <c r="B529" s="352"/>
      <c r="C529" s="352"/>
      <c r="D529" s="352"/>
      <c r="E529" s="352"/>
      <c r="F529" s="352"/>
      <c r="G529" s="352"/>
      <c r="H529" s="352"/>
      <c r="I529" s="352"/>
      <c r="J529" s="352"/>
      <c r="K529" s="352"/>
    </row>
    <row r="530" spans="1:11" ht="20.25">
      <c r="A530" s="352"/>
      <c r="B530" s="352"/>
      <c r="C530" s="352"/>
      <c r="D530" s="352"/>
      <c r="E530" s="352"/>
      <c r="F530" s="352"/>
      <c r="G530" s="352"/>
      <c r="H530" s="352"/>
      <c r="I530" s="352"/>
      <c r="J530" s="352"/>
      <c r="K530" s="352"/>
    </row>
    <row r="531" spans="1:11" ht="20.25">
      <c r="A531" s="352"/>
      <c r="B531" s="352"/>
      <c r="C531" s="352"/>
      <c r="D531" s="352"/>
      <c r="E531" s="352"/>
      <c r="F531" s="352"/>
      <c r="G531" s="352"/>
      <c r="H531" s="352"/>
      <c r="I531" s="352"/>
      <c r="J531" s="352"/>
      <c r="K531" s="352"/>
    </row>
    <row r="532" spans="1:11" ht="20.25">
      <c r="A532" s="352"/>
      <c r="B532" s="352"/>
      <c r="C532" s="352"/>
      <c r="D532" s="352"/>
      <c r="E532" s="352"/>
      <c r="F532" s="352"/>
      <c r="G532" s="352"/>
      <c r="H532" s="352"/>
      <c r="I532" s="352"/>
      <c r="J532" s="352"/>
      <c r="K532" s="352"/>
    </row>
    <row r="533" spans="1:11" ht="20.25">
      <c r="A533" s="352"/>
      <c r="B533" s="352"/>
      <c r="C533" s="352"/>
      <c r="D533" s="352"/>
      <c r="E533" s="352"/>
      <c r="F533" s="352"/>
      <c r="G533" s="352"/>
      <c r="H533" s="352"/>
      <c r="I533" s="352"/>
      <c r="J533" s="352"/>
      <c r="K533" s="352"/>
    </row>
    <row r="534" spans="1:11" ht="20.25">
      <c r="A534" s="352"/>
      <c r="B534" s="352"/>
      <c r="C534" s="352"/>
      <c r="D534" s="352"/>
      <c r="E534" s="352"/>
      <c r="F534" s="352"/>
      <c r="G534" s="352"/>
      <c r="H534" s="352"/>
      <c r="I534" s="352"/>
      <c r="J534" s="352"/>
      <c r="K534" s="352"/>
    </row>
    <row r="535" spans="1:11" ht="20.25">
      <c r="A535" s="352"/>
      <c r="B535" s="352"/>
      <c r="C535" s="352"/>
      <c r="D535" s="352"/>
      <c r="E535" s="352"/>
      <c r="F535" s="352"/>
      <c r="G535" s="352"/>
      <c r="H535" s="352"/>
      <c r="I535" s="352"/>
      <c r="J535" s="352"/>
      <c r="K535" s="352"/>
    </row>
    <row r="536" spans="1:11" ht="20.25">
      <c r="A536" s="352"/>
      <c r="B536" s="352"/>
      <c r="C536" s="352"/>
      <c r="D536" s="352"/>
      <c r="E536" s="352"/>
      <c r="F536" s="352"/>
      <c r="G536" s="352"/>
      <c r="H536" s="352"/>
      <c r="I536" s="352"/>
      <c r="J536" s="352"/>
      <c r="K536" s="352"/>
    </row>
    <row r="537" spans="1:11" ht="20.25">
      <c r="A537" s="352"/>
      <c r="B537" s="352"/>
      <c r="C537" s="352"/>
      <c r="D537" s="352"/>
      <c r="E537" s="352"/>
      <c r="F537" s="352"/>
      <c r="G537" s="352"/>
      <c r="H537" s="352"/>
      <c r="I537" s="352"/>
      <c r="J537" s="352"/>
      <c r="K537" s="352"/>
    </row>
    <row r="538" spans="1:11" ht="20.25">
      <c r="A538" s="352"/>
      <c r="B538" s="352"/>
      <c r="C538" s="352"/>
      <c r="D538" s="352"/>
      <c r="E538" s="352"/>
      <c r="F538" s="352"/>
      <c r="G538" s="352"/>
      <c r="H538" s="352"/>
      <c r="I538" s="352"/>
      <c r="J538" s="352"/>
      <c r="K538" s="352"/>
    </row>
    <row r="539" spans="1:11" ht="20.25">
      <c r="A539" s="352"/>
      <c r="B539" s="352"/>
      <c r="C539" s="352"/>
      <c r="D539" s="352"/>
      <c r="E539" s="352"/>
      <c r="F539" s="352"/>
      <c r="G539" s="352"/>
      <c r="H539" s="352"/>
      <c r="I539" s="352"/>
      <c r="J539" s="352"/>
      <c r="K539" s="352"/>
    </row>
    <row r="540" spans="1:11" ht="20.25">
      <c r="A540" s="352"/>
      <c r="B540" s="352"/>
      <c r="C540" s="352"/>
      <c r="D540" s="352"/>
      <c r="E540" s="352"/>
      <c r="F540" s="352"/>
      <c r="G540" s="352"/>
      <c r="H540" s="352"/>
      <c r="I540" s="352"/>
      <c r="J540" s="352"/>
      <c r="K540" s="352"/>
    </row>
    <row r="541" spans="1:11" ht="20.25">
      <c r="A541" s="352"/>
      <c r="B541" s="352"/>
      <c r="C541" s="352"/>
      <c r="D541" s="352"/>
      <c r="E541" s="352"/>
      <c r="F541" s="352"/>
      <c r="G541" s="352"/>
      <c r="H541" s="352"/>
      <c r="I541" s="352"/>
      <c r="J541" s="352"/>
      <c r="K541" s="352"/>
    </row>
    <row r="542" spans="1:11" ht="20.25">
      <c r="A542" s="352"/>
      <c r="B542" s="352"/>
      <c r="C542" s="352"/>
      <c r="D542" s="352"/>
      <c r="E542" s="352"/>
      <c r="F542" s="352"/>
      <c r="G542" s="352"/>
      <c r="H542" s="352"/>
      <c r="I542" s="352"/>
      <c r="J542" s="352"/>
      <c r="K542" s="352"/>
    </row>
    <row r="543" spans="1:11" ht="20.25">
      <c r="A543" s="352"/>
      <c r="B543" s="352"/>
      <c r="C543" s="352"/>
      <c r="D543" s="352"/>
      <c r="E543" s="352"/>
      <c r="F543" s="352"/>
      <c r="G543" s="352"/>
      <c r="H543" s="352"/>
      <c r="I543" s="352"/>
      <c r="J543" s="352"/>
      <c r="K543" s="352"/>
    </row>
    <row r="544" spans="1:11" ht="20.25">
      <c r="A544" s="352"/>
      <c r="B544" s="352"/>
      <c r="C544" s="352"/>
      <c r="D544" s="352"/>
      <c r="E544" s="352"/>
      <c r="F544" s="352"/>
      <c r="G544" s="352"/>
      <c r="H544" s="352"/>
      <c r="I544" s="352"/>
      <c r="J544" s="352"/>
      <c r="K544" s="352"/>
    </row>
    <row r="545" spans="1:11" ht="20.25">
      <c r="A545" s="352"/>
      <c r="B545" s="352"/>
      <c r="C545" s="352"/>
      <c r="D545" s="352"/>
      <c r="E545" s="352"/>
      <c r="F545" s="352"/>
      <c r="G545" s="352"/>
      <c r="H545" s="352"/>
      <c r="I545" s="352"/>
      <c r="J545" s="352"/>
      <c r="K545" s="352"/>
    </row>
    <row r="546" spans="1:11" ht="20.25">
      <c r="A546" s="352"/>
      <c r="B546" s="352"/>
      <c r="C546" s="352"/>
      <c r="D546" s="352"/>
      <c r="E546" s="352"/>
      <c r="F546" s="352"/>
      <c r="G546" s="352"/>
      <c r="H546" s="352"/>
      <c r="I546" s="352"/>
      <c r="J546" s="352"/>
      <c r="K546" s="352"/>
    </row>
    <row r="547" spans="1:11" ht="20.25">
      <c r="A547" s="352"/>
      <c r="B547" s="352"/>
      <c r="C547" s="352"/>
      <c r="D547" s="352"/>
      <c r="E547" s="352"/>
      <c r="F547" s="352"/>
      <c r="G547" s="352"/>
      <c r="H547" s="352"/>
      <c r="I547" s="352"/>
      <c r="J547" s="352"/>
      <c r="K547" s="352"/>
    </row>
    <row r="548" spans="1:11" ht="20.25">
      <c r="A548" s="352"/>
      <c r="B548" s="352"/>
      <c r="C548" s="352"/>
      <c r="D548" s="352"/>
      <c r="E548" s="352"/>
      <c r="F548" s="352"/>
      <c r="G548" s="352"/>
      <c r="H548" s="352"/>
      <c r="I548" s="352"/>
      <c r="J548" s="352"/>
      <c r="K548" s="352"/>
    </row>
    <row r="549" spans="1:11" ht="20.25">
      <c r="A549" s="352"/>
      <c r="B549" s="352"/>
      <c r="C549" s="352"/>
      <c r="D549" s="352"/>
      <c r="E549" s="352"/>
      <c r="F549" s="352"/>
      <c r="G549" s="352"/>
      <c r="H549" s="352"/>
      <c r="I549" s="352"/>
      <c r="J549" s="352"/>
      <c r="K549" s="352"/>
    </row>
    <row r="550" spans="1:11" ht="20.25">
      <c r="A550" s="352"/>
      <c r="B550" s="352"/>
      <c r="C550" s="352"/>
      <c r="D550" s="352"/>
      <c r="E550" s="352"/>
      <c r="F550" s="352"/>
      <c r="G550" s="352"/>
      <c r="H550" s="352"/>
      <c r="I550" s="352"/>
      <c r="J550" s="352"/>
      <c r="K550" s="352"/>
    </row>
    <row r="551" spans="1:11" ht="20.25">
      <c r="A551" s="352"/>
      <c r="B551" s="352"/>
      <c r="C551" s="352"/>
      <c r="D551" s="352"/>
      <c r="E551" s="352"/>
      <c r="F551" s="352"/>
      <c r="G551" s="352"/>
      <c r="H551" s="352"/>
      <c r="I551" s="352"/>
      <c r="J551" s="352"/>
      <c r="K551" s="352"/>
    </row>
    <row r="552" spans="1:11" ht="20.25">
      <c r="A552" s="352"/>
      <c r="B552" s="352"/>
      <c r="C552" s="352"/>
      <c r="D552" s="352"/>
      <c r="E552" s="352"/>
      <c r="F552" s="352"/>
      <c r="G552" s="352"/>
      <c r="H552" s="352"/>
      <c r="I552" s="352"/>
      <c r="J552" s="352"/>
      <c r="K552" s="352"/>
    </row>
    <row r="553" spans="1:11" ht="20.25">
      <c r="A553" s="352"/>
      <c r="B553" s="352"/>
      <c r="C553" s="352"/>
      <c r="D553" s="352"/>
      <c r="E553" s="352"/>
      <c r="F553" s="352"/>
      <c r="G553" s="352"/>
      <c r="H553" s="352"/>
      <c r="I553" s="352"/>
      <c r="J553" s="352"/>
      <c r="K553" s="352"/>
    </row>
    <row r="554" spans="1:11" ht="20.25">
      <c r="A554" s="352"/>
      <c r="B554" s="352"/>
      <c r="C554" s="352"/>
      <c r="D554" s="352"/>
      <c r="E554" s="352"/>
      <c r="F554" s="352"/>
      <c r="G554" s="352"/>
      <c r="H554" s="352"/>
      <c r="I554" s="352"/>
      <c r="J554" s="352"/>
      <c r="K554" s="352"/>
    </row>
    <row r="555" spans="1:11" ht="20.25">
      <c r="A555" s="352"/>
      <c r="B555" s="352"/>
      <c r="C555" s="352"/>
      <c r="D555" s="352"/>
      <c r="E555" s="352"/>
      <c r="F555" s="352"/>
      <c r="G555" s="352"/>
      <c r="H555" s="352"/>
      <c r="I555" s="352"/>
      <c r="J555" s="352"/>
      <c r="K555" s="352"/>
    </row>
    <row r="556" spans="1:11" ht="20.25">
      <c r="A556" s="352"/>
      <c r="B556" s="352"/>
      <c r="C556" s="352"/>
      <c r="D556" s="352"/>
      <c r="E556" s="352"/>
      <c r="F556" s="352"/>
      <c r="G556" s="352"/>
      <c r="H556" s="352"/>
      <c r="I556" s="352"/>
      <c r="J556" s="352"/>
      <c r="K556" s="352"/>
    </row>
    <row r="557" spans="1:11" ht="20.25">
      <c r="A557" s="352"/>
      <c r="B557" s="352"/>
      <c r="C557" s="352"/>
      <c r="D557" s="352"/>
      <c r="E557" s="352"/>
      <c r="F557" s="352"/>
      <c r="G557" s="352"/>
      <c r="H557" s="352"/>
      <c r="I557" s="352"/>
      <c r="J557" s="352"/>
      <c r="K557" s="352"/>
    </row>
    <row r="558" spans="1:11" ht="20.25">
      <c r="A558" s="352"/>
      <c r="B558" s="352"/>
      <c r="C558" s="352"/>
      <c r="D558" s="352"/>
      <c r="E558" s="352"/>
      <c r="F558" s="352"/>
      <c r="G558" s="352"/>
      <c r="H558" s="352"/>
      <c r="I558" s="352"/>
      <c r="J558" s="352"/>
      <c r="K558" s="352"/>
    </row>
    <row r="559" spans="1:11" ht="20.25">
      <c r="A559" s="352"/>
      <c r="B559" s="352"/>
      <c r="C559" s="352"/>
      <c r="D559" s="352"/>
      <c r="E559" s="352"/>
      <c r="F559" s="352"/>
      <c r="G559" s="352"/>
      <c r="H559" s="352"/>
      <c r="I559" s="352"/>
      <c r="J559" s="352"/>
      <c r="K559" s="352"/>
    </row>
    <row r="560" spans="1:11" ht="20.25">
      <c r="A560" s="352"/>
      <c r="B560" s="352"/>
      <c r="C560" s="352"/>
      <c r="D560" s="352"/>
      <c r="E560" s="352"/>
      <c r="F560" s="352"/>
      <c r="G560" s="352"/>
      <c r="H560" s="352"/>
      <c r="I560" s="352"/>
      <c r="J560" s="352"/>
      <c r="K560" s="352"/>
    </row>
    <row r="561" spans="1:11" ht="20.25">
      <c r="A561" s="352"/>
      <c r="B561" s="352"/>
      <c r="C561" s="352"/>
      <c r="D561" s="352"/>
      <c r="E561" s="352"/>
      <c r="F561" s="352"/>
      <c r="G561" s="352"/>
      <c r="H561" s="352"/>
      <c r="I561" s="352"/>
      <c r="J561" s="352"/>
      <c r="K561" s="352"/>
    </row>
    <row r="562" spans="1:11" ht="20.25">
      <c r="A562" s="352"/>
      <c r="B562" s="352"/>
      <c r="C562" s="352"/>
      <c r="D562" s="352"/>
      <c r="E562" s="352"/>
      <c r="F562" s="352"/>
      <c r="G562" s="352"/>
      <c r="H562" s="352"/>
      <c r="I562" s="352"/>
      <c r="J562" s="352"/>
      <c r="K562" s="352"/>
    </row>
    <row r="563" spans="1:11" ht="20.25">
      <c r="A563" s="352"/>
      <c r="B563" s="352"/>
      <c r="C563" s="352"/>
      <c r="D563" s="352"/>
      <c r="E563" s="352"/>
      <c r="F563" s="352"/>
      <c r="G563" s="352"/>
      <c r="H563" s="352"/>
      <c r="I563" s="352"/>
      <c r="J563" s="352"/>
      <c r="K563" s="352"/>
    </row>
    <row r="564" spans="1:11" ht="20.25">
      <c r="A564" s="352"/>
      <c r="B564" s="352"/>
      <c r="C564" s="352"/>
      <c r="D564" s="352"/>
      <c r="E564" s="352"/>
      <c r="F564" s="352"/>
      <c r="G564" s="352"/>
      <c r="H564" s="352"/>
      <c r="I564" s="352"/>
      <c r="J564" s="352"/>
      <c r="K564" s="352"/>
    </row>
    <row r="565" spans="1:11" ht="20.25">
      <c r="A565" s="352"/>
      <c r="B565" s="352"/>
      <c r="C565" s="352"/>
      <c r="D565" s="352"/>
      <c r="E565" s="352"/>
      <c r="F565" s="352"/>
      <c r="G565" s="352"/>
      <c r="H565" s="352"/>
      <c r="I565" s="352"/>
      <c r="J565" s="352"/>
      <c r="K565" s="352"/>
    </row>
    <row r="566" spans="1:11" ht="20.25">
      <c r="A566" s="352"/>
      <c r="B566" s="352"/>
      <c r="C566" s="352"/>
      <c r="D566" s="352"/>
      <c r="E566" s="352"/>
      <c r="F566" s="352"/>
      <c r="G566" s="352"/>
      <c r="H566" s="352"/>
      <c r="I566" s="352"/>
      <c r="J566" s="352"/>
      <c r="K566" s="352"/>
    </row>
    <row r="567" spans="1:11" ht="20.25">
      <c r="A567" s="352"/>
      <c r="B567" s="352"/>
      <c r="C567" s="352"/>
      <c r="D567" s="352"/>
      <c r="E567" s="352"/>
      <c r="F567" s="352"/>
      <c r="G567" s="352"/>
      <c r="H567" s="352"/>
      <c r="I567" s="352"/>
      <c r="J567" s="352"/>
      <c r="K567" s="352"/>
    </row>
    <row r="568" spans="1:11" ht="20.25">
      <c r="A568" s="352"/>
      <c r="B568" s="352"/>
      <c r="C568" s="352"/>
      <c r="D568" s="352"/>
      <c r="E568" s="352"/>
      <c r="F568" s="352"/>
      <c r="G568" s="352"/>
      <c r="H568" s="352"/>
      <c r="I568" s="352"/>
      <c r="J568" s="352"/>
      <c r="K568" s="352"/>
    </row>
    <row r="569" spans="1:11" ht="20.25">
      <c r="A569" s="352"/>
      <c r="B569" s="352"/>
      <c r="C569" s="352"/>
      <c r="D569" s="352"/>
      <c r="E569" s="352"/>
      <c r="F569" s="352"/>
      <c r="G569" s="352"/>
      <c r="H569" s="352"/>
      <c r="I569" s="352"/>
      <c r="J569" s="352"/>
      <c r="K569" s="352"/>
    </row>
    <row r="570" spans="1:11" ht="20.25">
      <c r="A570" s="352"/>
      <c r="B570" s="352"/>
      <c r="C570" s="352"/>
      <c r="D570" s="352"/>
      <c r="E570" s="352"/>
      <c r="F570" s="352"/>
      <c r="G570" s="352"/>
      <c r="H570" s="352"/>
      <c r="I570" s="352"/>
      <c r="J570" s="352"/>
      <c r="K570" s="352"/>
    </row>
    <row r="571" spans="1:11" ht="20.25">
      <c r="A571" s="352"/>
      <c r="B571" s="352"/>
      <c r="C571" s="352"/>
      <c r="D571" s="352"/>
      <c r="E571" s="352"/>
      <c r="F571" s="352"/>
      <c r="G571" s="352"/>
      <c r="H571" s="352"/>
      <c r="I571" s="352"/>
      <c r="J571" s="352"/>
      <c r="K571" s="352"/>
    </row>
    <row r="572" spans="1:11" ht="20.25">
      <c r="A572" s="352"/>
      <c r="B572" s="352"/>
      <c r="C572" s="352"/>
      <c r="D572" s="352"/>
      <c r="E572" s="352"/>
      <c r="F572" s="352"/>
      <c r="G572" s="352"/>
      <c r="H572" s="352"/>
      <c r="I572" s="352"/>
      <c r="J572" s="352"/>
      <c r="K572" s="352"/>
    </row>
    <row r="573" spans="1:11" ht="20.25">
      <c r="A573" s="352"/>
      <c r="B573" s="352"/>
      <c r="C573" s="352"/>
      <c r="D573" s="352"/>
      <c r="E573" s="352"/>
      <c r="F573" s="352"/>
      <c r="G573" s="352"/>
      <c r="H573" s="352"/>
      <c r="I573" s="352"/>
      <c r="J573" s="352"/>
      <c r="K573" s="352"/>
    </row>
    <row r="574" spans="1:11" ht="20.25">
      <c r="A574" s="352"/>
      <c r="B574" s="352"/>
      <c r="C574" s="352"/>
      <c r="D574" s="352"/>
      <c r="E574" s="352"/>
      <c r="F574" s="352"/>
      <c r="G574" s="352"/>
      <c r="H574" s="352"/>
      <c r="I574" s="352"/>
      <c r="J574" s="352"/>
      <c r="K574" s="352"/>
    </row>
    <row r="575" spans="1:11" ht="20.25">
      <c r="A575" s="352"/>
      <c r="B575" s="352"/>
      <c r="C575" s="352"/>
      <c r="D575" s="352"/>
      <c r="E575" s="352"/>
      <c r="F575" s="352"/>
      <c r="G575" s="352"/>
      <c r="H575" s="352"/>
      <c r="I575" s="352"/>
      <c r="J575" s="352"/>
      <c r="K575" s="352"/>
    </row>
    <row r="576" spans="1:11" ht="20.25">
      <c r="A576" s="352"/>
      <c r="B576" s="352"/>
      <c r="C576" s="352"/>
      <c r="D576" s="352"/>
      <c r="E576" s="352"/>
      <c r="F576" s="352"/>
      <c r="G576" s="352"/>
      <c r="H576" s="352"/>
      <c r="I576" s="352"/>
      <c r="J576" s="352"/>
      <c r="K576" s="352"/>
    </row>
    <row r="577" spans="1:11" ht="20.25">
      <c r="A577" s="352"/>
      <c r="B577" s="352"/>
      <c r="C577" s="352"/>
      <c r="D577" s="352"/>
      <c r="E577" s="352"/>
      <c r="F577" s="352"/>
      <c r="G577" s="352"/>
      <c r="H577" s="352"/>
      <c r="I577" s="352"/>
      <c r="J577" s="352"/>
      <c r="K577" s="352"/>
    </row>
    <row r="578" spans="1:11" ht="20.25">
      <c r="A578" s="352"/>
      <c r="B578" s="352"/>
      <c r="C578" s="352"/>
      <c r="D578" s="352"/>
      <c r="E578" s="352"/>
      <c r="F578" s="352"/>
      <c r="G578" s="352"/>
      <c r="H578" s="352"/>
      <c r="I578" s="352"/>
      <c r="J578" s="352"/>
      <c r="K578" s="352"/>
    </row>
    <row r="579" spans="1:11" ht="20.25">
      <c r="A579" s="352"/>
      <c r="B579" s="352"/>
      <c r="C579" s="352"/>
      <c r="D579" s="352"/>
      <c r="E579" s="352"/>
      <c r="F579" s="352"/>
      <c r="G579" s="352"/>
      <c r="H579" s="352"/>
      <c r="I579" s="352"/>
      <c r="J579" s="352"/>
      <c r="K579" s="352"/>
    </row>
    <row r="580" spans="1:11" ht="20.25">
      <c r="A580" s="352"/>
      <c r="B580" s="352"/>
      <c r="C580" s="352"/>
      <c r="D580" s="352"/>
      <c r="E580" s="352"/>
      <c r="F580" s="352"/>
      <c r="G580" s="352"/>
      <c r="H580" s="352"/>
      <c r="I580" s="352"/>
      <c r="J580" s="352"/>
      <c r="K580" s="352"/>
    </row>
    <row r="581" spans="1:11" ht="20.25">
      <c r="A581" s="352"/>
      <c r="B581" s="352"/>
      <c r="C581" s="352"/>
      <c r="D581" s="352"/>
      <c r="E581" s="352"/>
      <c r="F581" s="352"/>
      <c r="G581" s="352"/>
      <c r="H581" s="352"/>
      <c r="I581" s="352"/>
      <c r="J581" s="352"/>
      <c r="K581" s="352"/>
    </row>
    <row r="582" spans="1:11" ht="20.25">
      <c r="A582" s="352"/>
      <c r="B582" s="352"/>
      <c r="C582" s="352"/>
      <c r="D582" s="352"/>
      <c r="E582" s="352"/>
      <c r="F582" s="352"/>
      <c r="G582" s="352"/>
      <c r="H582" s="352"/>
      <c r="I582" s="352"/>
      <c r="J582" s="352"/>
      <c r="K582" s="352"/>
    </row>
    <row r="583" spans="1:11" ht="20.25">
      <c r="A583" s="352"/>
      <c r="B583" s="352"/>
      <c r="C583" s="352"/>
      <c r="D583" s="352"/>
      <c r="E583" s="352"/>
      <c r="F583" s="352"/>
      <c r="G583" s="352"/>
      <c r="H583" s="352"/>
      <c r="I583" s="352"/>
      <c r="J583" s="352"/>
      <c r="K583" s="352"/>
    </row>
    <row r="584" spans="1:11" ht="20.25">
      <c r="A584" s="352"/>
      <c r="B584" s="352"/>
      <c r="C584" s="352"/>
      <c r="D584" s="352"/>
      <c r="E584" s="352"/>
      <c r="F584" s="352"/>
      <c r="G584" s="352"/>
      <c r="H584" s="352"/>
      <c r="I584" s="352"/>
      <c r="J584" s="352"/>
      <c r="K584" s="352"/>
    </row>
    <row r="585" spans="1:11" ht="20.25">
      <c r="A585" s="352"/>
      <c r="B585" s="352"/>
      <c r="C585" s="352"/>
      <c r="D585" s="352"/>
      <c r="E585" s="352"/>
      <c r="F585" s="352"/>
      <c r="G585" s="352"/>
      <c r="H585" s="352"/>
      <c r="I585" s="352"/>
      <c r="J585" s="352"/>
      <c r="K585" s="352"/>
    </row>
    <row r="586" spans="1:11" ht="20.25">
      <c r="A586" s="352"/>
      <c r="B586" s="352"/>
      <c r="C586" s="352"/>
      <c r="D586" s="352"/>
      <c r="E586" s="352"/>
      <c r="F586" s="352"/>
      <c r="G586" s="352"/>
      <c r="H586" s="352"/>
      <c r="I586" s="352"/>
      <c r="J586" s="352"/>
      <c r="K586" s="352"/>
    </row>
    <row r="587" spans="1:11" ht="20.25">
      <c r="A587" s="352"/>
      <c r="B587" s="352"/>
      <c r="C587" s="352"/>
      <c r="D587" s="352"/>
      <c r="E587" s="352"/>
      <c r="F587" s="352"/>
      <c r="G587" s="352"/>
      <c r="H587" s="352"/>
      <c r="I587" s="352"/>
      <c r="J587" s="352"/>
      <c r="K587" s="352"/>
    </row>
    <row r="588" spans="1:11" ht="20.25">
      <c r="A588" s="352"/>
      <c r="B588" s="352"/>
      <c r="C588" s="352"/>
      <c r="D588" s="352"/>
      <c r="E588" s="352"/>
      <c r="F588" s="352"/>
      <c r="G588" s="352"/>
      <c r="H588" s="352"/>
      <c r="I588" s="352"/>
      <c r="J588" s="352"/>
      <c r="K588" s="352"/>
    </row>
    <row r="589" spans="1:11" ht="20.25">
      <c r="A589" s="352"/>
      <c r="B589" s="352"/>
      <c r="C589" s="352"/>
      <c r="D589" s="352"/>
      <c r="E589" s="352"/>
      <c r="F589" s="352"/>
      <c r="G589" s="352"/>
      <c r="H589" s="352"/>
      <c r="I589" s="352"/>
      <c r="J589" s="352"/>
      <c r="K589" s="352"/>
    </row>
    <row r="590" spans="1:11" ht="20.25">
      <c r="A590" s="352"/>
      <c r="B590" s="352"/>
      <c r="C590" s="352"/>
      <c r="D590" s="352"/>
      <c r="E590" s="352"/>
      <c r="F590" s="352"/>
      <c r="G590" s="352"/>
      <c r="H590" s="352"/>
      <c r="I590" s="352"/>
      <c r="J590" s="352"/>
      <c r="K590" s="352"/>
    </row>
    <row r="591" spans="1:11" ht="20.25">
      <c r="A591" s="352"/>
      <c r="B591" s="352"/>
      <c r="C591" s="352"/>
      <c r="D591" s="352"/>
      <c r="E591" s="352"/>
      <c r="F591" s="352"/>
      <c r="G591" s="352"/>
      <c r="H591" s="352"/>
      <c r="I591" s="352"/>
      <c r="J591" s="352"/>
      <c r="K591" s="352"/>
    </row>
    <row r="592" spans="1:11" ht="20.25">
      <c r="A592" s="352"/>
      <c r="B592" s="352"/>
      <c r="C592" s="352"/>
      <c r="D592" s="352"/>
      <c r="E592" s="352"/>
      <c r="F592" s="352"/>
      <c r="G592" s="352"/>
      <c r="H592" s="352"/>
      <c r="I592" s="352"/>
      <c r="J592" s="352"/>
      <c r="K592" s="352"/>
    </row>
    <row r="593" spans="1:11" ht="20.25">
      <c r="A593" s="352"/>
      <c r="B593" s="352"/>
      <c r="C593" s="352"/>
      <c r="D593" s="352"/>
      <c r="E593" s="352"/>
      <c r="F593" s="352"/>
      <c r="G593" s="352"/>
      <c r="H593" s="352"/>
      <c r="I593" s="352"/>
      <c r="J593" s="352"/>
      <c r="K593" s="352"/>
    </row>
    <row r="594" spans="1:11" ht="20.25">
      <c r="A594" s="352"/>
      <c r="B594" s="352"/>
      <c r="C594" s="352"/>
      <c r="D594" s="352"/>
      <c r="E594" s="352"/>
      <c r="F594" s="352"/>
      <c r="G594" s="352"/>
      <c r="H594" s="352"/>
      <c r="I594" s="352"/>
      <c r="J594" s="352"/>
      <c r="K594" s="352"/>
    </row>
    <row r="595" spans="1:11" ht="20.25">
      <c r="A595" s="352"/>
      <c r="B595" s="352"/>
      <c r="C595" s="352"/>
      <c r="D595" s="352"/>
      <c r="E595" s="352"/>
      <c r="F595" s="352"/>
      <c r="G595" s="352"/>
      <c r="H595" s="352"/>
      <c r="I595" s="352"/>
      <c r="J595" s="352"/>
      <c r="K595" s="352"/>
    </row>
    <row r="596" spans="1:11" ht="20.25">
      <c r="A596" s="352"/>
      <c r="B596" s="352"/>
      <c r="C596" s="352"/>
      <c r="D596" s="352"/>
      <c r="E596" s="352"/>
      <c r="F596" s="352"/>
      <c r="G596" s="352"/>
      <c r="H596" s="352"/>
      <c r="I596" s="352"/>
      <c r="J596" s="352"/>
      <c r="K596" s="352"/>
    </row>
    <row r="597" spans="1:11" ht="20.25">
      <c r="A597" s="352"/>
      <c r="B597" s="352"/>
      <c r="C597" s="352"/>
      <c r="D597" s="352"/>
      <c r="E597" s="352"/>
      <c r="F597" s="352"/>
      <c r="G597" s="352"/>
      <c r="H597" s="352"/>
      <c r="I597" s="352"/>
      <c r="J597" s="352"/>
      <c r="K597" s="352"/>
    </row>
    <row r="598" spans="1:11" ht="20.25">
      <c r="A598" s="352"/>
      <c r="B598" s="352"/>
      <c r="C598" s="352"/>
      <c r="D598" s="352"/>
      <c r="E598" s="352"/>
      <c r="F598" s="352"/>
      <c r="G598" s="352"/>
      <c r="H598" s="352"/>
      <c r="I598" s="352"/>
      <c r="J598" s="352"/>
      <c r="K598" s="352"/>
    </row>
    <row r="599" spans="1:11" ht="20.25">
      <c r="A599" s="352"/>
      <c r="B599" s="352"/>
      <c r="C599" s="352"/>
      <c r="D599" s="352"/>
      <c r="E599" s="352"/>
      <c r="F599" s="352"/>
      <c r="G599" s="352"/>
      <c r="H599" s="352"/>
      <c r="I599" s="352"/>
      <c r="J599" s="352"/>
      <c r="K599" s="352"/>
    </row>
    <row r="600" spans="1:11" ht="20.25">
      <c r="A600" s="352"/>
      <c r="B600" s="352"/>
      <c r="C600" s="352"/>
      <c r="D600" s="352"/>
      <c r="E600" s="352"/>
      <c r="F600" s="352"/>
      <c r="G600" s="352"/>
      <c r="H600" s="352"/>
      <c r="I600" s="352"/>
      <c r="J600" s="352"/>
      <c r="K600" s="352"/>
    </row>
    <row r="601" spans="1:11" ht="20.25">
      <c r="A601" s="352"/>
      <c r="B601" s="352"/>
      <c r="C601" s="352"/>
      <c r="D601" s="352"/>
      <c r="E601" s="352"/>
      <c r="F601" s="352"/>
      <c r="G601" s="352"/>
      <c r="H601" s="352"/>
      <c r="I601" s="352"/>
      <c r="J601" s="352"/>
      <c r="K601" s="352"/>
    </row>
    <row r="602" spans="1:11" ht="20.25">
      <c r="A602" s="352"/>
      <c r="B602" s="352"/>
      <c r="C602" s="352"/>
      <c r="D602" s="352"/>
      <c r="E602" s="352"/>
      <c r="F602" s="352"/>
      <c r="G602" s="352"/>
      <c r="H602" s="352"/>
      <c r="I602" s="352"/>
      <c r="J602" s="352"/>
      <c r="K602" s="352"/>
    </row>
    <row r="603" spans="1:11" ht="20.25">
      <c r="A603" s="352"/>
      <c r="B603" s="352"/>
      <c r="C603" s="352"/>
      <c r="D603" s="352"/>
      <c r="E603" s="352"/>
      <c r="F603" s="352"/>
      <c r="G603" s="352"/>
      <c r="H603" s="352"/>
      <c r="I603" s="352"/>
      <c r="J603" s="352"/>
      <c r="K603" s="352"/>
    </row>
    <row r="604" spans="1:11" ht="20.25">
      <c r="A604" s="352"/>
      <c r="B604" s="352"/>
      <c r="C604" s="352"/>
      <c r="D604" s="352"/>
      <c r="E604" s="352"/>
      <c r="F604" s="352"/>
      <c r="G604" s="352"/>
      <c r="H604" s="352"/>
      <c r="I604" s="352"/>
      <c r="J604" s="352"/>
      <c r="K604" s="352"/>
    </row>
    <row r="605" spans="1:11" ht="20.25">
      <c r="A605" s="352"/>
      <c r="B605" s="352"/>
      <c r="C605" s="352"/>
      <c r="D605" s="352"/>
      <c r="E605" s="352"/>
      <c r="F605" s="352"/>
      <c r="G605" s="352"/>
      <c r="H605" s="352"/>
      <c r="I605" s="352"/>
      <c r="J605" s="352"/>
      <c r="K605" s="352"/>
    </row>
    <row r="606" spans="1:11" ht="20.25">
      <c r="A606" s="352"/>
      <c r="B606" s="352"/>
      <c r="C606" s="352"/>
      <c r="D606" s="352"/>
      <c r="E606" s="352"/>
      <c r="F606" s="352"/>
      <c r="G606" s="352"/>
      <c r="H606" s="352"/>
      <c r="I606" s="352"/>
      <c r="J606" s="352"/>
      <c r="K606" s="352"/>
    </row>
    <row r="607" spans="1:11" ht="20.25">
      <c r="A607" s="352"/>
      <c r="B607" s="352"/>
      <c r="C607" s="352"/>
      <c r="D607" s="352"/>
      <c r="E607" s="352"/>
      <c r="F607" s="352"/>
      <c r="G607" s="352"/>
      <c r="H607" s="352"/>
      <c r="I607" s="352"/>
      <c r="J607" s="352"/>
      <c r="K607" s="352"/>
    </row>
    <row r="608" spans="1:11" ht="20.25">
      <c r="A608" s="352"/>
      <c r="B608" s="352"/>
      <c r="C608" s="352"/>
      <c r="D608" s="352"/>
      <c r="E608" s="352"/>
      <c r="F608" s="352"/>
      <c r="G608" s="352"/>
      <c r="H608" s="352"/>
      <c r="I608" s="352"/>
      <c r="J608" s="352"/>
      <c r="K608" s="352"/>
    </row>
    <row r="609" spans="1:11" ht="20.25">
      <c r="A609" s="352"/>
      <c r="B609" s="352"/>
      <c r="C609" s="352"/>
      <c r="D609" s="352"/>
      <c r="E609" s="352"/>
      <c r="F609" s="352"/>
      <c r="G609" s="352"/>
      <c r="H609" s="352"/>
      <c r="I609" s="352"/>
      <c r="J609" s="352"/>
      <c r="K609" s="352"/>
    </row>
    <row r="610" spans="1:11" ht="20.25">
      <c r="A610" s="352"/>
      <c r="B610" s="352"/>
      <c r="C610" s="352"/>
      <c r="D610" s="352"/>
      <c r="E610" s="352"/>
      <c r="F610" s="352"/>
      <c r="G610" s="352"/>
      <c r="H610" s="352"/>
      <c r="I610" s="352"/>
      <c r="J610" s="352"/>
      <c r="K610" s="352"/>
    </row>
    <row r="611" spans="1:11" ht="20.25">
      <c r="A611" s="352"/>
      <c r="B611" s="352"/>
      <c r="C611" s="352"/>
      <c r="D611" s="352"/>
      <c r="E611" s="352"/>
      <c r="F611" s="352"/>
      <c r="G611" s="352"/>
      <c r="H611" s="352"/>
      <c r="I611" s="352"/>
      <c r="J611" s="352"/>
      <c r="K611" s="352"/>
    </row>
    <row r="612" spans="1:11" ht="20.25">
      <c r="A612" s="352"/>
      <c r="B612" s="352"/>
      <c r="C612" s="352"/>
      <c r="D612" s="352"/>
      <c r="E612" s="352"/>
      <c r="F612" s="352"/>
      <c r="G612" s="352"/>
      <c r="H612" s="352"/>
      <c r="I612" s="352"/>
      <c r="J612" s="352"/>
      <c r="K612" s="352"/>
    </row>
    <row r="613" spans="1:11" ht="20.25">
      <c r="A613" s="352"/>
      <c r="B613" s="352"/>
      <c r="C613" s="352"/>
      <c r="D613" s="352"/>
      <c r="E613" s="352"/>
      <c r="F613" s="352"/>
      <c r="G613" s="352"/>
      <c r="H613" s="352"/>
      <c r="I613" s="352"/>
      <c r="J613" s="352"/>
      <c r="K613" s="352"/>
    </row>
    <row r="614" spans="1:11" ht="20.25">
      <c r="A614" s="352"/>
      <c r="B614" s="352"/>
      <c r="C614" s="352"/>
      <c r="D614" s="352"/>
      <c r="E614" s="352"/>
      <c r="F614" s="352"/>
      <c r="G614" s="352"/>
      <c r="H614" s="352"/>
      <c r="I614" s="352"/>
      <c r="J614" s="352"/>
      <c r="K614" s="352"/>
    </row>
    <row r="615" spans="1:11" ht="20.25">
      <c r="A615" s="352"/>
      <c r="B615" s="352"/>
      <c r="C615" s="352"/>
      <c r="D615" s="352"/>
      <c r="E615" s="352"/>
      <c r="F615" s="352"/>
      <c r="G615" s="352"/>
      <c r="H615" s="352"/>
      <c r="I615" s="352"/>
      <c r="J615" s="352"/>
      <c r="K615" s="352"/>
    </row>
    <row r="616" spans="1:11" ht="20.25">
      <c r="A616" s="352"/>
      <c r="B616" s="352"/>
      <c r="C616" s="352"/>
      <c r="D616" s="352"/>
      <c r="E616" s="352"/>
      <c r="F616" s="352"/>
      <c r="G616" s="352"/>
      <c r="H616" s="352"/>
      <c r="I616" s="352"/>
      <c r="J616" s="352"/>
      <c r="K616" s="352"/>
    </row>
    <row r="617" spans="1:11" ht="20.25">
      <c r="A617" s="352"/>
      <c r="B617" s="352"/>
      <c r="C617" s="352"/>
      <c r="D617" s="352"/>
      <c r="E617" s="352"/>
      <c r="F617" s="352"/>
      <c r="G617" s="352"/>
      <c r="H617" s="352"/>
      <c r="I617" s="352"/>
      <c r="J617" s="352"/>
      <c r="K617" s="352"/>
    </row>
    <row r="618" spans="1:11" ht="20.25">
      <c r="A618" s="352"/>
      <c r="B618" s="352"/>
      <c r="C618" s="352"/>
      <c r="D618" s="352"/>
      <c r="E618" s="352"/>
      <c r="F618" s="352"/>
      <c r="G618" s="352"/>
      <c r="H618" s="352"/>
      <c r="I618" s="352"/>
      <c r="J618" s="352"/>
      <c r="K618" s="352"/>
    </row>
    <row r="619" spans="1:11" ht="20.25">
      <c r="A619" s="352"/>
      <c r="B619" s="352"/>
      <c r="C619" s="352"/>
      <c r="D619" s="352"/>
      <c r="E619" s="352"/>
      <c r="F619" s="352"/>
      <c r="G619" s="352"/>
      <c r="H619" s="352"/>
      <c r="I619" s="352"/>
      <c r="J619" s="352"/>
      <c r="K619" s="352"/>
    </row>
    <row r="620" spans="1:11" ht="20.25">
      <c r="A620" s="352"/>
      <c r="B620" s="352"/>
      <c r="C620" s="352"/>
      <c r="D620" s="352"/>
      <c r="E620" s="352"/>
      <c r="F620" s="352"/>
      <c r="G620" s="352"/>
      <c r="H620" s="352"/>
      <c r="I620" s="352"/>
      <c r="J620" s="352"/>
      <c r="K620" s="352"/>
    </row>
    <row r="621" spans="1:11" ht="20.25">
      <c r="A621" s="352"/>
      <c r="B621" s="352"/>
      <c r="C621" s="352"/>
      <c r="D621" s="352"/>
      <c r="E621" s="352"/>
      <c r="F621" s="352"/>
      <c r="G621" s="352"/>
      <c r="H621" s="352"/>
      <c r="I621" s="352"/>
      <c r="J621" s="352"/>
      <c r="K621" s="352"/>
    </row>
    <row r="622" spans="1:11" ht="20.25">
      <c r="A622" s="352"/>
      <c r="B622" s="352"/>
      <c r="C622" s="352"/>
      <c r="D622" s="352"/>
      <c r="E622" s="352"/>
      <c r="F622" s="352"/>
      <c r="G622" s="352"/>
      <c r="H622" s="352"/>
      <c r="I622" s="352"/>
      <c r="J622" s="352"/>
      <c r="K622" s="352"/>
    </row>
    <row r="623" spans="1:11" ht="20.25">
      <c r="A623" s="352"/>
      <c r="B623" s="352"/>
      <c r="C623" s="352"/>
      <c r="D623" s="352"/>
      <c r="E623" s="352"/>
      <c r="F623" s="352"/>
      <c r="G623" s="352"/>
      <c r="H623" s="352"/>
      <c r="I623" s="352"/>
      <c r="J623" s="352"/>
      <c r="K623" s="352"/>
    </row>
    <row r="624" spans="1:11" ht="20.25">
      <c r="A624" s="352"/>
      <c r="B624" s="352"/>
      <c r="C624" s="352"/>
      <c r="D624" s="352"/>
      <c r="E624" s="352"/>
      <c r="F624" s="352"/>
      <c r="G624" s="352"/>
      <c r="H624" s="352"/>
      <c r="I624" s="352"/>
      <c r="J624" s="352"/>
      <c r="K624" s="352"/>
    </row>
    <row r="625" spans="1:11" ht="20.25">
      <c r="A625" s="352"/>
      <c r="B625" s="352"/>
      <c r="C625" s="352"/>
      <c r="D625" s="352"/>
      <c r="E625" s="352"/>
      <c r="F625" s="352"/>
      <c r="G625" s="352"/>
      <c r="H625" s="352"/>
      <c r="I625" s="352"/>
      <c r="J625" s="352"/>
      <c r="K625" s="352"/>
    </row>
    <row r="626" spans="1:11" ht="20.25">
      <c r="A626" s="352"/>
      <c r="B626" s="352"/>
      <c r="C626" s="352"/>
      <c r="D626" s="352"/>
      <c r="E626" s="352"/>
      <c r="F626" s="352"/>
      <c r="G626" s="352"/>
      <c r="H626" s="352"/>
      <c r="I626" s="352"/>
      <c r="J626" s="352"/>
      <c r="K626" s="352"/>
    </row>
    <row r="627" spans="1:11" ht="20.25">
      <c r="A627" s="352"/>
      <c r="B627" s="352"/>
      <c r="C627" s="352"/>
      <c r="D627" s="352"/>
      <c r="E627" s="352"/>
      <c r="F627" s="352"/>
      <c r="G627" s="352"/>
      <c r="H627" s="352"/>
      <c r="I627" s="352"/>
      <c r="J627" s="352"/>
      <c r="K627" s="352"/>
    </row>
    <row r="628" spans="1:11" ht="20.25">
      <c r="A628" s="352"/>
      <c r="B628" s="352"/>
      <c r="C628" s="352"/>
      <c r="D628" s="352"/>
      <c r="E628" s="352"/>
      <c r="F628" s="352"/>
      <c r="G628" s="352"/>
      <c r="H628" s="352"/>
      <c r="I628" s="352"/>
      <c r="J628" s="352"/>
      <c r="K628" s="352"/>
    </row>
    <row r="629" spans="1:11" ht="20.25">
      <c r="A629" s="352"/>
      <c r="B629" s="352"/>
      <c r="C629" s="352"/>
      <c r="D629" s="352"/>
      <c r="E629" s="352"/>
      <c r="F629" s="352"/>
      <c r="G629" s="352"/>
      <c r="H629" s="352"/>
      <c r="I629" s="352"/>
      <c r="J629" s="352"/>
      <c r="K629" s="352"/>
    </row>
    <row r="630" spans="1:11" ht="20.25">
      <c r="A630" s="352"/>
      <c r="B630" s="352"/>
      <c r="C630" s="352"/>
      <c r="D630" s="352"/>
      <c r="E630" s="352"/>
      <c r="F630" s="352"/>
      <c r="G630" s="352"/>
      <c r="H630" s="352"/>
      <c r="I630" s="352"/>
      <c r="J630" s="352"/>
      <c r="K630" s="352"/>
    </row>
    <row r="631" spans="1:11" ht="20.25">
      <c r="A631" s="352"/>
      <c r="B631" s="352"/>
      <c r="C631" s="352"/>
      <c r="D631" s="352"/>
      <c r="E631" s="352"/>
      <c r="F631" s="352"/>
      <c r="G631" s="352"/>
      <c r="H631" s="352"/>
      <c r="I631" s="352"/>
      <c r="J631" s="352"/>
      <c r="K631" s="352"/>
    </row>
    <row r="632" spans="1:11" ht="20.25">
      <c r="A632" s="352"/>
      <c r="B632" s="352"/>
      <c r="C632" s="352"/>
      <c r="D632" s="352"/>
      <c r="E632" s="352"/>
      <c r="F632" s="352"/>
      <c r="G632" s="352"/>
      <c r="H632" s="352"/>
      <c r="I632" s="352"/>
      <c r="J632" s="352"/>
      <c r="K632" s="352"/>
    </row>
    <row r="633" spans="1:11" ht="20.25">
      <c r="A633" s="352"/>
      <c r="B633" s="352"/>
      <c r="C633" s="352"/>
      <c r="D633" s="352"/>
      <c r="E633" s="352"/>
      <c r="F633" s="352"/>
      <c r="G633" s="352"/>
      <c r="H633" s="352"/>
      <c r="I633" s="352"/>
      <c r="J633" s="352"/>
      <c r="K633" s="352"/>
    </row>
    <row r="634" spans="1:11" ht="20.25">
      <c r="A634" s="352"/>
      <c r="B634" s="352"/>
      <c r="C634" s="352"/>
      <c r="D634" s="352"/>
      <c r="E634" s="352"/>
      <c r="F634" s="352"/>
      <c r="G634" s="352"/>
      <c r="H634" s="352"/>
      <c r="I634" s="352"/>
      <c r="J634" s="352"/>
      <c r="K634" s="352"/>
    </row>
    <row r="635" spans="1:11" ht="20.25">
      <c r="A635" s="352"/>
      <c r="B635" s="352"/>
      <c r="C635" s="352"/>
      <c r="D635" s="352"/>
      <c r="E635" s="352"/>
      <c r="F635" s="352"/>
      <c r="G635" s="352"/>
      <c r="H635" s="352"/>
      <c r="I635" s="352"/>
      <c r="J635" s="352"/>
      <c r="K635" s="352"/>
    </row>
    <row r="636" spans="1:11" ht="20.25">
      <c r="A636" s="352"/>
      <c r="B636" s="352"/>
      <c r="C636" s="352"/>
      <c r="D636" s="352"/>
      <c r="E636" s="352"/>
      <c r="F636" s="352"/>
      <c r="G636" s="352"/>
      <c r="H636" s="352"/>
      <c r="I636" s="352"/>
      <c r="J636" s="352"/>
      <c r="K636" s="352"/>
    </row>
    <row r="637" spans="1:11" ht="20.25">
      <c r="A637" s="352"/>
      <c r="B637" s="352"/>
      <c r="C637" s="352"/>
      <c r="D637" s="352"/>
      <c r="E637" s="352"/>
      <c r="F637" s="352"/>
      <c r="G637" s="352"/>
      <c r="H637" s="352"/>
      <c r="I637" s="352"/>
      <c r="J637" s="352"/>
      <c r="K637" s="352"/>
    </row>
    <row r="638" spans="1:11" ht="20.25">
      <c r="A638" s="352"/>
      <c r="B638" s="352"/>
      <c r="C638" s="352"/>
      <c r="D638" s="352"/>
      <c r="E638" s="352"/>
      <c r="F638" s="352"/>
      <c r="G638" s="352"/>
      <c r="H638" s="352"/>
      <c r="I638" s="352"/>
      <c r="J638" s="352"/>
      <c r="K638" s="352"/>
    </row>
    <row r="639" spans="1:11" ht="20.25">
      <c r="A639" s="352"/>
      <c r="B639" s="352"/>
      <c r="C639" s="352"/>
      <c r="D639" s="352"/>
      <c r="E639" s="352"/>
      <c r="F639" s="352"/>
      <c r="G639" s="352"/>
      <c r="H639" s="352"/>
      <c r="I639" s="352"/>
      <c r="J639" s="352"/>
      <c r="K639" s="352"/>
    </row>
    <row r="640" spans="1:11" ht="20.25">
      <c r="A640" s="352"/>
      <c r="B640" s="352"/>
      <c r="C640" s="352"/>
      <c r="D640" s="352"/>
      <c r="E640" s="352"/>
      <c r="F640" s="352"/>
      <c r="G640" s="352"/>
      <c r="H640" s="352"/>
      <c r="I640" s="352"/>
      <c r="J640" s="352"/>
      <c r="K640" s="352"/>
    </row>
    <row r="641" spans="1:11" ht="20.25">
      <c r="A641" s="352"/>
      <c r="B641" s="352"/>
      <c r="C641" s="352"/>
      <c r="D641" s="352"/>
      <c r="E641" s="352"/>
      <c r="F641" s="352"/>
      <c r="G641" s="352"/>
      <c r="H641" s="352"/>
      <c r="I641" s="352"/>
      <c r="J641" s="352"/>
      <c r="K641" s="352"/>
    </row>
    <row r="642" spans="1:11" ht="20.25">
      <c r="A642" s="352"/>
      <c r="B642" s="352"/>
      <c r="C642" s="352"/>
      <c r="D642" s="352"/>
      <c r="E642" s="352"/>
      <c r="F642" s="352"/>
      <c r="G642" s="352"/>
      <c r="H642" s="352"/>
      <c r="I642" s="352"/>
      <c r="J642" s="352"/>
      <c r="K642" s="352"/>
    </row>
    <row r="643" spans="1:11" ht="20.25">
      <c r="A643" s="352"/>
      <c r="B643" s="352"/>
      <c r="C643" s="352"/>
      <c r="D643" s="352"/>
      <c r="E643" s="352"/>
      <c r="F643" s="352"/>
      <c r="G643" s="352"/>
      <c r="H643" s="352"/>
      <c r="I643" s="352"/>
      <c r="J643" s="352"/>
      <c r="K643" s="352"/>
    </row>
    <row r="644" spans="1:11" ht="20.25">
      <c r="A644" s="352"/>
      <c r="B644" s="352"/>
      <c r="C644" s="352"/>
      <c r="D644" s="352"/>
      <c r="E644" s="352"/>
      <c r="F644" s="352"/>
      <c r="G644" s="352"/>
      <c r="H644" s="352"/>
      <c r="I644" s="352"/>
      <c r="J644" s="352"/>
      <c r="K644" s="352"/>
    </row>
    <row r="645" spans="1:11" ht="20.25">
      <c r="A645" s="352"/>
      <c r="B645" s="352"/>
      <c r="C645" s="352"/>
      <c r="D645" s="352"/>
      <c r="E645" s="352"/>
      <c r="F645" s="352"/>
      <c r="G645" s="352"/>
      <c r="H645" s="352"/>
      <c r="I645" s="352"/>
      <c r="J645" s="352"/>
      <c r="K645" s="352"/>
    </row>
    <row r="646" spans="1:11" ht="20.25">
      <c r="A646" s="352"/>
      <c r="B646" s="352"/>
      <c r="C646" s="352"/>
      <c r="D646" s="352"/>
      <c r="E646" s="352"/>
      <c r="F646" s="352"/>
      <c r="G646" s="352"/>
      <c r="H646" s="352"/>
      <c r="I646" s="352"/>
      <c r="J646" s="352"/>
      <c r="K646" s="352"/>
    </row>
    <row r="647" spans="1:11" ht="20.25">
      <c r="A647" s="352"/>
      <c r="B647" s="352"/>
      <c r="C647" s="352"/>
      <c r="D647" s="352"/>
      <c r="E647" s="352"/>
      <c r="F647" s="352"/>
      <c r="G647" s="352"/>
      <c r="H647" s="352"/>
      <c r="I647" s="352"/>
      <c r="J647" s="352"/>
      <c r="K647" s="352"/>
    </row>
    <row r="648" spans="1:11" ht="20.25">
      <c r="A648" s="352"/>
      <c r="B648" s="352"/>
      <c r="C648" s="352"/>
      <c r="D648" s="352"/>
      <c r="E648" s="352"/>
      <c r="F648" s="352"/>
      <c r="G648" s="352"/>
      <c r="H648" s="352"/>
      <c r="I648" s="352"/>
      <c r="J648" s="352"/>
      <c r="K648" s="352"/>
    </row>
    <row r="649" spans="1:11" ht="20.25">
      <c r="A649" s="352"/>
      <c r="B649" s="352"/>
      <c r="C649" s="352"/>
      <c r="D649" s="352"/>
      <c r="E649" s="352"/>
      <c r="F649" s="352"/>
      <c r="G649" s="352"/>
      <c r="H649" s="352"/>
      <c r="I649" s="352"/>
      <c r="J649" s="352"/>
      <c r="K649" s="352"/>
    </row>
    <row r="650" spans="1:11" ht="20.25">
      <c r="A650" s="352"/>
      <c r="B650" s="352"/>
      <c r="C650" s="352"/>
      <c r="D650" s="352"/>
      <c r="E650" s="352"/>
      <c r="F650" s="352"/>
      <c r="G650" s="352"/>
      <c r="H650" s="352"/>
      <c r="I650" s="352"/>
      <c r="J650" s="352"/>
      <c r="K650" s="352"/>
    </row>
    <row r="651" spans="1:11" ht="20.25">
      <c r="A651" s="352"/>
      <c r="B651" s="352"/>
      <c r="C651" s="352"/>
      <c r="D651" s="352"/>
      <c r="E651" s="352"/>
      <c r="F651" s="352"/>
      <c r="G651" s="352"/>
      <c r="H651" s="352"/>
      <c r="I651" s="352"/>
      <c r="J651" s="352"/>
      <c r="K651" s="352"/>
    </row>
    <row r="652" spans="1:11" ht="20.25">
      <c r="A652" s="352"/>
      <c r="B652" s="352"/>
      <c r="C652" s="352"/>
      <c r="D652" s="352"/>
      <c r="E652" s="352"/>
      <c r="F652" s="352"/>
      <c r="G652" s="352"/>
      <c r="H652" s="352"/>
      <c r="I652" s="352"/>
      <c r="J652" s="352"/>
      <c r="K652" s="352"/>
    </row>
    <row r="653" spans="1:11" ht="20.25">
      <c r="A653" s="352"/>
      <c r="B653" s="352"/>
      <c r="C653" s="352"/>
      <c r="D653" s="352"/>
      <c r="E653" s="352"/>
      <c r="F653" s="352"/>
      <c r="G653" s="352"/>
      <c r="H653" s="352"/>
      <c r="I653" s="352"/>
      <c r="J653" s="352"/>
      <c r="K653" s="352"/>
    </row>
    <row r="654" spans="1:11" ht="20.25">
      <c r="A654" s="352"/>
      <c r="B654" s="352"/>
      <c r="C654" s="352"/>
      <c r="D654" s="352"/>
      <c r="E654" s="352"/>
      <c r="F654" s="352"/>
      <c r="G654" s="352"/>
      <c r="H654" s="352"/>
      <c r="I654" s="352"/>
      <c r="J654" s="352"/>
      <c r="K654" s="352"/>
    </row>
    <row r="655" spans="1:11" ht="20.25">
      <c r="A655" s="352"/>
      <c r="B655" s="352"/>
      <c r="C655" s="352"/>
      <c r="D655" s="352"/>
      <c r="E655" s="352"/>
      <c r="F655" s="352"/>
      <c r="G655" s="352"/>
      <c r="H655" s="352"/>
      <c r="I655" s="352"/>
      <c r="J655" s="352"/>
      <c r="K655" s="352"/>
    </row>
    <row r="656" spans="1:11" ht="20.25">
      <c r="A656" s="352"/>
      <c r="B656" s="352"/>
      <c r="C656" s="352"/>
      <c r="D656" s="352"/>
      <c r="E656" s="352"/>
      <c r="F656" s="352"/>
      <c r="G656" s="352"/>
      <c r="H656" s="352"/>
      <c r="I656" s="352"/>
      <c r="J656" s="352"/>
      <c r="K656" s="352"/>
    </row>
    <row r="657" spans="1:11" ht="20.25">
      <c r="A657" s="352"/>
      <c r="B657" s="352"/>
      <c r="C657" s="352"/>
      <c r="D657" s="352"/>
      <c r="E657" s="352"/>
      <c r="F657" s="352"/>
      <c r="G657" s="352"/>
      <c r="H657" s="352"/>
      <c r="I657" s="352"/>
      <c r="J657" s="352"/>
      <c r="K657" s="352"/>
    </row>
    <row r="658" spans="1:11" ht="20.25">
      <c r="A658" s="352"/>
      <c r="B658" s="352"/>
      <c r="C658" s="352"/>
      <c r="D658" s="352"/>
      <c r="E658" s="352"/>
      <c r="F658" s="352"/>
      <c r="G658" s="352"/>
      <c r="H658" s="352"/>
      <c r="I658" s="352"/>
      <c r="J658" s="352"/>
      <c r="K658" s="352"/>
    </row>
    <row r="659" spans="1:11" ht="20.25">
      <c r="A659" s="352"/>
      <c r="B659" s="352"/>
      <c r="C659" s="352"/>
      <c r="D659" s="352"/>
      <c r="E659" s="352"/>
      <c r="F659" s="352"/>
      <c r="G659" s="352"/>
      <c r="H659" s="352"/>
      <c r="I659" s="352"/>
      <c r="J659" s="352"/>
      <c r="K659" s="352"/>
    </row>
    <row r="660" spans="1:11" ht="20.25">
      <c r="A660" s="352"/>
      <c r="B660" s="352"/>
      <c r="C660" s="352"/>
      <c r="D660" s="352"/>
      <c r="E660" s="352"/>
      <c r="F660" s="352"/>
      <c r="G660" s="352"/>
      <c r="H660" s="352"/>
      <c r="I660" s="352"/>
      <c r="J660" s="352"/>
      <c r="K660" s="352"/>
    </row>
    <row r="661" spans="1:11" ht="20.25">
      <c r="A661" s="352"/>
      <c r="B661" s="352"/>
      <c r="C661" s="352"/>
      <c r="D661" s="352"/>
      <c r="E661" s="352"/>
      <c r="F661" s="352"/>
      <c r="G661" s="352"/>
      <c r="H661" s="352"/>
      <c r="I661" s="352"/>
      <c r="J661" s="352"/>
      <c r="K661" s="352"/>
    </row>
    <row r="662" spans="1:11" ht="20.25">
      <c r="A662" s="352"/>
      <c r="B662" s="352"/>
      <c r="C662" s="352"/>
      <c r="D662" s="352"/>
      <c r="E662" s="352"/>
      <c r="F662" s="352"/>
      <c r="G662" s="352"/>
      <c r="H662" s="352"/>
      <c r="I662" s="352"/>
      <c r="J662" s="352"/>
      <c r="K662" s="352"/>
    </row>
    <row r="663" spans="1:11" ht="20.25">
      <c r="A663" s="352"/>
      <c r="B663" s="352"/>
      <c r="C663" s="352"/>
      <c r="D663" s="352"/>
      <c r="E663" s="352"/>
      <c r="F663" s="352"/>
      <c r="G663" s="352"/>
      <c r="H663" s="352"/>
      <c r="I663" s="352"/>
      <c r="J663" s="352"/>
      <c r="K663" s="352"/>
    </row>
    <row r="664" spans="1:11" ht="20.25">
      <c r="A664" s="352"/>
      <c r="B664" s="352"/>
      <c r="C664" s="352"/>
      <c r="D664" s="352"/>
      <c r="E664" s="352"/>
      <c r="F664" s="352"/>
      <c r="G664" s="352"/>
      <c r="H664" s="352"/>
      <c r="I664" s="352"/>
      <c r="J664" s="352"/>
      <c r="K664" s="352"/>
    </row>
    <row r="665" spans="1:11" ht="20.25">
      <c r="A665" s="352"/>
      <c r="B665" s="352"/>
      <c r="C665" s="352"/>
      <c r="D665" s="352"/>
      <c r="E665" s="352"/>
      <c r="F665" s="352"/>
      <c r="G665" s="352"/>
      <c r="H665" s="352"/>
      <c r="I665" s="352"/>
      <c r="J665" s="352"/>
      <c r="K665" s="352"/>
    </row>
    <row r="666" spans="1:11" ht="20.25">
      <c r="A666" s="352"/>
      <c r="B666" s="352"/>
      <c r="C666" s="352"/>
      <c r="D666" s="352"/>
      <c r="E666" s="352"/>
      <c r="F666" s="352"/>
      <c r="G666" s="352"/>
      <c r="H666" s="352"/>
      <c r="I666" s="352"/>
      <c r="J666" s="352"/>
      <c r="K666" s="352"/>
    </row>
    <row r="667" spans="1:11" ht="20.25">
      <c r="A667" s="352"/>
      <c r="B667" s="352"/>
      <c r="C667" s="352"/>
      <c r="D667" s="352"/>
      <c r="E667" s="352"/>
      <c r="F667" s="352"/>
      <c r="G667" s="352"/>
      <c r="H667" s="352"/>
      <c r="I667" s="352"/>
      <c r="J667" s="352"/>
      <c r="K667" s="352"/>
    </row>
    <row r="668" spans="1:11" ht="20.25">
      <c r="A668" s="352"/>
      <c r="B668" s="352"/>
      <c r="C668" s="352"/>
      <c r="D668" s="352"/>
      <c r="E668" s="352"/>
      <c r="F668" s="352"/>
      <c r="G668" s="352"/>
      <c r="H668" s="352"/>
      <c r="I668" s="352"/>
      <c r="J668" s="352"/>
      <c r="K668" s="352"/>
    </row>
    <row r="669" spans="1:11" ht="20.25">
      <c r="A669" s="352"/>
      <c r="B669" s="352"/>
      <c r="C669" s="352"/>
      <c r="D669" s="352"/>
      <c r="E669" s="352"/>
      <c r="F669" s="352"/>
      <c r="G669" s="352"/>
      <c r="H669" s="352"/>
      <c r="I669" s="352"/>
      <c r="J669" s="352"/>
      <c r="K669" s="352"/>
    </row>
    <row r="670" spans="1:11" ht="20.25">
      <c r="A670" s="352"/>
      <c r="B670" s="352"/>
      <c r="C670" s="352"/>
      <c r="D670" s="352"/>
      <c r="E670" s="352"/>
      <c r="F670" s="352"/>
      <c r="G670" s="352"/>
      <c r="H670" s="352"/>
      <c r="I670" s="352"/>
      <c r="J670" s="352"/>
      <c r="K670" s="352"/>
    </row>
    <row r="671" spans="1:11" ht="20.25">
      <c r="A671" s="352"/>
      <c r="B671" s="352"/>
      <c r="C671" s="352"/>
      <c r="D671" s="352"/>
      <c r="E671" s="352"/>
      <c r="F671" s="352"/>
      <c r="G671" s="352"/>
      <c r="H671" s="352"/>
      <c r="I671" s="352"/>
      <c r="J671" s="352"/>
      <c r="K671" s="352"/>
    </row>
    <row r="672" spans="1:11" ht="20.25">
      <c r="A672" s="352"/>
      <c r="B672" s="352"/>
      <c r="C672" s="352"/>
      <c r="D672" s="352"/>
      <c r="E672" s="352"/>
      <c r="F672" s="352"/>
      <c r="G672" s="352"/>
      <c r="H672" s="352"/>
      <c r="I672" s="352"/>
      <c r="J672" s="352"/>
      <c r="K672" s="352"/>
    </row>
    <row r="673" spans="1:11" ht="20.25">
      <c r="A673" s="352"/>
      <c r="B673" s="352"/>
      <c r="C673" s="352"/>
      <c r="D673" s="352"/>
      <c r="E673" s="352"/>
      <c r="F673" s="352"/>
      <c r="G673" s="352"/>
      <c r="H673" s="352"/>
      <c r="I673" s="352"/>
      <c r="J673" s="352"/>
      <c r="K673" s="352"/>
    </row>
    <row r="674" spans="1:11" ht="20.25">
      <c r="A674" s="352"/>
      <c r="B674" s="352"/>
      <c r="C674" s="352"/>
      <c r="D674" s="352"/>
      <c r="E674" s="352"/>
      <c r="F674" s="352"/>
      <c r="G674" s="352"/>
      <c r="H674" s="352"/>
      <c r="I674" s="352"/>
      <c r="J674" s="352"/>
      <c r="K674" s="352"/>
    </row>
    <row r="675" spans="1:11" ht="20.25">
      <c r="A675" s="352"/>
      <c r="B675" s="352"/>
      <c r="C675" s="352"/>
      <c r="D675" s="352"/>
      <c r="E675" s="352"/>
      <c r="F675" s="352"/>
      <c r="G675" s="352"/>
      <c r="H675" s="352"/>
      <c r="I675" s="352"/>
      <c r="J675" s="352"/>
      <c r="K675" s="352"/>
    </row>
    <row r="676" spans="1:11" ht="20.25">
      <c r="A676" s="352"/>
      <c r="B676" s="352"/>
      <c r="C676" s="352"/>
      <c r="D676" s="352"/>
      <c r="E676" s="352"/>
      <c r="F676" s="352"/>
      <c r="G676" s="352"/>
      <c r="H676" s="352"/>
      <c r="I676" s="352"/>
      <c r="J676" s="352"/>
      <c r="K676" s="352"/>
    </row>
    <row r="677" spans="1:11" ht="20.25">
      <c r="A677" s="352"/>
      <c r="B677" s="352"/>
      <c r="C677" s="352"/>
      <c r="D677" s="352"/>
      <c r="E677" s="352"/>
      <c r="F677" s="352"/>
      <c r="G677" s="352"/>
      <c r="H677" s="352"/>
      <c r="I677" s="352"/>
      <c r="J677" s="352"/>
      <c r="K677" s="352"/>
    </row>
    <row r="678" spans="1:11" ht="20.25">
      <c r="A678" s="352"/>
      <c r="B678" s="352"/>
      <c r="C678" s="352"/>
      <c r="D678" s="352"/>
      <c r="E678" s="352"/>
      <c r="F678" s="352"/>
      <c r="G678" s="352"/>
      <c r="H678" s="352"/>
      <c r="I678" s="352"/>
      <c r="J678" s="352"/>
      <c r="K678" s="352"/>
    </row>
    <row r="679" spans="1:11" ht="20.25">
      <c r="A679" s="352"/>
      <c r="B679" s="352"/>
      <c r="C679" s="352"/>
      <c r="D679" s="352"/>
      <c r="E679" s="352"/>
      <c r="F679" s="352"/>
      <c r="G679" s="352"/>
      <c r="H679" s="352"/>
      <c r="I679" s="352"/>
      <c r="J679" s="352"/>
      <c r="K679" s="352"/>
    </row>
    <row r="680" spans="1:11" ht="20.25">
      <c r="A680" s="352"/>
      <c r="B680" s="352"/>
      <c r="C680" s="352"/>
      <c r="D680" s="352"/>
      <c r="E680" s="352"/>
      <c r="F680" s="352"/>
      <c r="G680" s="352"/>
      <c r="H680" s="352"/>
      <c r="I680" s="352"/>
      <c r="J680" s="352"/>
      <c r="K680" s="352"/>
    </row>
    <row r="681" spans="1:11" ht="20.25">
      <c r="A681" s="352"/>
      <c r="B681" s="352"/>
      <c r="C681" s="352"/>
      <c r="D681" s="352"/>
      <c r="E681" s="352"/>
      <c r="F681" s="352"/>
      <c r="G681" s="352"/>
      <c r="H681" s="352"/>
      <c r="I681" s="352"/>
      <c r="J681" s="352"/>
      <c r="K681" s="352"/>
    </row>
    <row r="682" spans="1:11" ht="20.25">
      <c r="A682" s="352"/>
      <c r="B682" s="352"/>
      <c r="C682" s="352"/>
      <c r="D682" s="352"/>
      <c r="E682" s="352"/>
      <c r="F682" s="352"/>
      <c r="G682" s="352"/>
      <c r="H682" s="352"/>
      <c r="I682" s="352"/>
      <c r="J682" s="352"/>
      <c r="K682" s="352"/>
    </row>
    <row r="683" spans="1:11" ht="20.25">
      <c r="A683" s="352"/>
      <c r="B683" s="352"/>
      <c r="C683" s="352"/>
      <c r="D683" s="352"/>
      <c r="E683" s="352"/>
      <c r="F683" s="352"/>
      <c r="G683" s="352"/>
      <c r="H683" s="352"/>
      <c r="I683" s="352"/>
      <c r="J683" s="352"/>
      <c r="K683" s="352"/>
    </row>
    <row r="684" spans="1:11" ht="20.25">
      <c r="A684" s="352"/>
      <c r="B684" s="352"/>
      <c r="C684" s="352"/>
      <c r="D684" s="352"/>
      <c r="E684" s="352"/>
      <c r="F684" s="352"/>
      <c r="G684" s="352"/>
      <c r="H684" s="352"/>
      <c r="I684" s="352"/>
      <c r="J684" s="352"/>
      <c r="K684" s="352"/>
    </row>
    <row r="685" spans="1:11" ht="20.25">
      <c r="A685" s="352"/>
      <c r="B685" s="352"/>
      <c r="C685" s="352"/>
      <c r="D685" s="352"/>
      <c r="E685" s="352"/>
      <c r="F685" s="352"/>
      <c r="G685" s="352"/>
      <c r="H685" s="352"/>
      <c r="I685" s="352"/>
      <c r="J685" s="352"/>
      <c r="K685" s="352"/>
    </row>
    <row r="686" spans="1:11" ht="20.25">
      <c r="A686" s="352"/>
      <c r="B686" s="352"/>
      <c r="C686" s="352"/>
      <c r="D686" s="352"/>
      <c r="E686" s="352"/>
      <c r="F686" s="352"/>
      <c r="G686" s="352"/>
      <c r="H686" s="352"/>
      <c r="I686" s="352"/>
      <c r="J686" s="352"/>
      <c r="K686" s="352"/>
    </row>
    <row r="687" spans="1:11" ht="20.25">
      <c r="A687" s="352"/>
      <c r="B687" s="352"/>
      <c r="C687" s="352"/>
      <c r="D687" s="352"/>
      <c r="E687" s="352"/>
      <c r="F687" s="352"/>
      <c r="G687" s="352"/>
      <c r="H687" s="352"/>
      <c r="I687" s="352"/>
      <c r="J687" s="352"/>
      <c r="K687" s="352"/>
    </row>
    <row r="688" spans="1:11" ht="20.25">
      <c r="A688" s="352"/>
      <c r="B688" s="352"/>
      <c r="C688" s="352"/>
      <c r="D688" s="352"/>
      <c r="E688" s="352"/>
      <c r="F688" s="352"/>
      <c r="G688" s="352"/>
      <c r="H688" s="352"/>
      <c r="I688" s="352"/>
      <c r="J688" s="352"/>
      <c r="K688" s="352"/>
    </row>
    <row r="689" spans="1:11" ht="20.25">
      <c r="A689" s="352"/>
      <c r="B689" s="352"/>
      <c r="C689" s="352"/>
      <c r="D689" s="352"/>
      <c r="E689" s="352"/>
      <c r="F689" s="352"/>
      <c r="G689" s="352"/>
      <c r="H689" s="352"/>
      <c r="I689" s="352"/>
      <c r="J689" s="352"/>
      <c r="K689" s="352"/>
    </row>
    <row r="690" spans="1:11" ht="20.25">
      <c r="A690" s="352"/>
      <c r="B690" s="352"/>
      <c r="C690" s="352"/>
      <c r="D690" s="352"/>
      <c r="E690" s="352"/>
      <c r="F690" s="352"/>
      <c r="G690" s="352"/>
      <c r="H690" s="352"/>
      <c r="I690" s="352"/>
      <c r="J690" s="352"/>
      <c r="K690" s="352"/>
    </row>
    <row r="691" spans="1:11" ht="20.25">
      <c r="A691" s="352"/>
      <c r="B691" s="352"/>
      <c r="C691" s="352"/>
      <c r="D691" s="352"/>
      <c r="E691" s="352"/>
      <c r="F691" s="352"/>
      <c r="G691" s="352"/>
      <c r="H691" s="352"/>
      <c r="I691" s="352"/>
      <c r="J691" s="352"/>
      <c r="K691" s="352"/>
    </row>
    <row r="692" spans="1:11" ht="20.25">
      <c r="A692" s="352"/>
      <c r="B692" s="352"/>
      <c r="C692" s="352"/>
      <c r="D692" s="352"/>
      <c r="E692" s="352"/>
      <c r="F692" s="352"/>
      <c r="G692" s="352"/>
      <c r="H692" s="352"/>
      <c r="I692" s="352"/>
      <c r="J692" s="352"/>
      <c r="K692" s="352"/>
    </row>
    <row r="693" spans="1:11" ht="20.25">
      <c r="A693" s="352"/>
      <c r="B693" s="352"/>
      <c r="C693" s="352"/>
      <c r="D693" s="352"/>
      <c r="E693" s="352"/>
      <c r="F693" s="352"/>
      <c r="G693" s="352"/>
      <c r="H693" s="352"/>
      <c r="I693" s="352"/>
      <c r="J693" s="352"/>
      <c r="K693" s="352"/>
    </row>
    <row r="694" spans="1:11" ht="20.25">
      <c r="A694" s="352"/>
      <c r="B694" s="352"/>
      <c r="C694" s="352"/>
      <c r="D694" s="352"/>
      <c r="E694" s="352"/>
      <c r="F694" s="352"/>
      <c r="G694" s="352"/>
      <c r="H694" s="352"/>
      <c r="I694" s="352"/>
      <c r="J694" s="352"/>
      <c r="K694" s="352"/>
    </row>
    <row r="695" spans="1:11" ht="20.25">
      <c r="A695" s="352"/>
      <c r="B695" s="352"/>
      <c r="C695" s="352"/>
      <c r="D695" s="352"/>
      <c r="E695" s="352"/>
      <c r="F695" s="352"/>
      <c r="G695" s="352"/>
      <c r="H695" s="352"/>
      <c r="I695" s="352"/>
      <c r="J695" s="352"/>
      <c r="K695" s="352"/>
    </row>
    <row r="696" spans="1:11" ht="20.25">
      <c r="A696" s="352"/>
      <c r="B696" s="352"/>
      <c r="C696" s="352"/>
      <c r="D696" s="352"/>
      <c r="E696" s="352"/>
      <c r="F696" s="352"/>
      <c r="G696" s="352"/>
      <c r="H696" s="352"/>
      <c r="I696" s="352"/>
      <c r="J696" s="352"/>
      <c r="K696" s="352"/>
    </row>
    <row r="697" spans="1:11" ht="20.25">
      <c r="A697" s="352"/>
      <c r="B697" s="352"/>
      <c r="C697" s="352"/>
      <c r="D697" s="352"/>
      <c r="E697" s="352"/>
      <c r="F697" s="352"/>
      <c r="G697" s="352"/>
      <c r="H697" s="352"/>
      <c r="I697" s="352"/>
      <c r="J697" s="352"/>
      <c r="K697" s="352"/>
    </row>
    <row r="698" spans="1:11" ht="20.25">
      <c r="A698" s="352"/>
      <c r="B698" s="352"/>
      <c r="C698" s="352"/>
      <c r="D698" s="352"/>
      <c r="E698" s="352"/>
      <c r="F698" s="352"/>
      <c r="G698" s="352"/>
      <c r="H698" s="352"/>
      <c r="I698" s="352"/>
      <c r="J698" s="352"/>
      <c r="K698" s="352"/>
    </row>
    <row r="699" spans="1:11" ht="20.25">
      <c r="A699" s="352"/>
      <c r="B699" s="352"/>
      <c r="C699" s="352"/>
      <c r="D699" s="352"/>
      <c r="E699" s="352"/>
      <c r="F699" s="352"/>
      <c r="G699" s="352"/>
      <c r="H699" s="352"/>
      <c r="I699" s="352"/>
      <c r="J699" s="352"/>
      <c r="K699" s="352"/>
    </row>
    <row r="700" spans="1:11" ht="20.25">
      <c r="A700" s="352"/>
      <c r="B700" s="352"/>
      <c r="C700" s="352"/>
      <c r="D700" s="352"/>
      <c r="E700" s="352"/>
      <c r="F700" s="352"/>
      <c r="G700" s="352"/>
      <c r="H700" s="352"/>
      <c r="I700" s="352"/>
      <c r="J700" s="352"/>
      <c r="K700" s="352"/>
    </row>
    <row r="701" spans="1:11" ht="20.25">
      <c r="A701" s="352"/>
      <c r="B701" s="352"/>
      <c r="C701" s="352"/>
      <c r="D701" s="352"/>
      <c r="E701" s="352"/>
      <c r="F701" s="352"/>
      <c r="G701" s="352"/>
      <c r="H701" s="352"/>
      <c r="I701" s="352"/>
      <c r="J701" s="352"/>
      <c r="K701" s="352"/>
    </row>
    <row r="702" spans="1:11" ht="20.25">
      <c r="A702" s="352"/>
      <c r="B702" s="352"/>
      <c r="C702" s="352"/>
      <c r="D702" s="352"/>
      <c r="E702" s="352"/>
      <c r="F702" s="352"/>
      <c r="G702" s="352"/>
      <c r="H702" s="352"/>
      <c r="I702" s="352"/>
      <c r="J702" s="352"/>
      <c r="K702" s="352"/>
    </row>
    <row r="703" spans="1:11" ht="20.25">
      <c r="A703" s="352"/>
      <c r="B703" s="352"/>
      <c r="C703" s="352"/>
      <c r="D703" s="352"/>
      <c r="E703" s="352"/>
      <c r="F703" s="352"/>
      <c r="G703" s="352"/>
      <c r="H703" s="352"/>
      <c r="I703" s="352"/>
      <c r="J703" s="352"/>
      <c r="K703" s="352"/>
    </row>
    <row r="704" spans="1:11" ht="20.25">
      <c r="A704" s="352"/>
      <c r="B704" s="352"/>
      <c r="C704" s="352"/>
      <c r="D704" s="352"/>
      <c r="E704" s="352"/>
      <c r="F704" s="352"/>
      <c r="G704" s="352"/>
      <c r="H704" s="352"/>
      <c r="I704" s="352"/>
      <c r="J704" s="352"/>
      <c r="K704" s="352"/>
    </row>
    <row r="705" spans="1:11" ht="20.25">
      <c r="A705" s="352"/>
      <c r="B705" s="352"/>
      <c r="C705" s="352"/>
      <c r="D705" s="352"/>
      <c r="E705" s="352"/>
      <c r="F705" s="352"/>
      <c r="G705" s="352"/>
      <c r="H705" s="352"/>
      <c r="I705" s="352"/>
      <c r="J705" s="352"/>
      <c r="K705" s="352"/>
    </row>
    <row r="706" spans="1:11" ht="20.25">
      <c r="A706" s="352"/>
      <c r="B706" s="352"/>
      <c r="C706" s="352"/>
      <c r="D706" s="352"/>
      <c r="E706" s="352"/>
      <c r="F706" s="352"/>
      <c r="G706" s="352"/>
      <c r="H706" s="352"/>
      <c r="I706" s="352"/>
      <c r="J706" s="352"/>
      <c r="K706" s="352"/>
    </row>
    <row r="707" spans="1:11" ht="20.25">
      <c r="A707" s="352"/>
      <c r="B707" s="352"/>
      <c r="C707" s="352"/>
      <c r="D707" s="352"/>
      <c r="E707" s="352"/>
      <c r="F707" s="352"/>
      <c r="G707" s="352"/>
      <c r="H707" s="352"/>
      <c r="I707" s="352"/>
      <c r="J707" s="352"/>
      <c r="K707" s="352"/>
    </row>
    <row r="708" spans="1:11" ht="20.25">
      <c r="A708" s="352"/>
      <c r="B708" s="352"/>
      <c r="C708" s="352"/>
      <c r="D708" s="352"/>
      <c r="E708" s="352"/>
      <c r="F708" s="352"/>
      <c r="G708" s="352"/>
      <c r="H708" s="352"/>
      <c r="I708" s="352"/>
      <c r="J708" s="352"/>
      <c r="K708" s="352"/>
    </row>
    <row r="709" spans="1:11" ht="20.25">
      <c r="A709" s="352"/>
      <c r="B709" s="352"/>
      <c r="C709" s="352"/>
      <c r="D709" s="352"/>
      <c r="E709" s="352"/>
      <c r="F709" s="352"/>
      <c r="G709" s="352"/>
      <c r="H709" s="352"/>
      <c r="I709" s="352"/>
      <c r="J709" s="352"/>
      <c r="K709" s="352"/>
    </row>
    <row r="710" spans="1:11" ht="20.25">
      <c r="A710" s="352"/>
      <c r="B710" s="352"/>
      <c r="C710" s="352"/>
      <c r="D710" s="352"/>
      <c r="E710" s="352"/>
      <c r="F710" s="352"/>
      <c r="G710" s="352"/>
      <c r="H710" s="352"/>
      <c r="I710" s="352"/>
      <c r="J710" s="352"/>
      <c r="K710" s="352"/>
    </row>
    <row r="711" spans="1:11" ht="20.25">
      <c r="A711" s="352"/>
      <c r="B711" s="352"/>
      <c r="C711" s="352"/>
      <c r="D711" s="352"/>
      <c r="E711" s="352"/>
      <c r="F711" s="352"/>
      <c r="G711" s="352"/>
      <c r="H711" s="352"/>
      <c r="I711" s="352"/>
      <c r="J711" s="352"/>
      <c r="K711" s="352"/>
    </row>
    <row r="712" spans="1:11" ht="20.25">
      <c r="A712" s="352"/>
      <c r="B712" s="352"/>
      <c r="C712" s="352"/>
      <c r="D712" s="352"/>
      <c r="E712" s="352"/>
      <c r="F712" s="352"/>
      <c r="G712" s="352"/>
      <c r="H712" s="352"/>
      <c r="I712" s="352"/>
      <c r="J712" s="352"/>
      <c r="K712" s="352"/>
    </row>
    <row r="713" spans="1:11" ht="20.25">
      <c r="A713" s="352"/>
      <c r="B713" s="352"/>
      <c r="C713" s="352"/>
      <c r="D713" s="352"/>
      <c r="E713" s="352"/>
      <c r="F713" s="352"/>
      <c r="G713" s="352"/>
      <c r="H713" s="352"/>
      <c r="I713" s="352"/>
      <c r="J713" s="352"/>
      <c r="K713" s="352"/>
    </row>
    <row r="714" spans="1:11" ht="20.25">
      <c r="A714" s="352"/>
      <c r="B714" s="352"/>
      <c r="C714" s="352"/>
      <c r="D714" s="352"/>
      <c r="E714" s="352"/>
      <c r="F714" s="352"/>
      <c r="G714" s="352"/>
      <c r="H714" s="352"/>
      <c r="I714" s="352"/>
      <c r="J714" s="352"/>
      <c r="K714" s="352"/>
    </row>
    <row r="715" spans="1:11" ht="20.25">
      <c r="A715" s="352"/>
      <c r="B715" s="352"/>
      <c r="C715" s="352"/>
      <c r="D715" s="352"/>
      <c r="E715" s="352"/>
      <c r="F715" s="352"/>
      <c r="G715" s="352"/>
      <c r="H715" s="352"/>
      <c r="I715" s="352"/>
      <c r="J715" s="352"/>
      <c r="K715" s="352"/>
    </row>
    <row r="716" spans="1:11" ht="20.25">
      <c r="A716" s="352"/>
      <c r="B716" s="352"/>
      <c r="C716" s="352"/>
      <c r="D716" s="352"/>
      <c r="E716" s="352"/>
      <c r="F716" s="352"/>
      <c r="G716" s="352"/>
      <c r="H716" s="352"/>
      <c r="I716" s="352"/>
      <c r="J716" s="352"/>
      <c r="K716" s="352"/>
    </row>
    <row r="717" spans="1:11" ht="20.25">
      <c r="A717" s="352"/>
      <c r="B717" s="352"/>
      <c r="C717" s="352"/>
      <c r="D717" s="352"/>
      <c r="E717" s="352"/>
      <c r="F717" s="352"/>
      <c r="G717" s="352"/>
      <c r="H717" s="352"/>
      <c r="I717" s="352"/>
      <c r="J717" s="352"/>
      <c r="K717" s="352"/>
    </row>
    <row r="718" spans="1:11" ht="20.25">
      <c r="A718" s="352"/>
      <c r="B718" s="352"/>
      <c r="C718" s="352"/>
      <c r="D718" s="352"/>
      <c r="E718" s="352"/>
      <c r="F718" s="352"/>
      <c r="G718" s="352"/>
      <c r="H718" s="352"/>
      <c r="I718" s="352"/>
      <c r="J718" s="352"/>
      <c r="K718" s="352"/>
    </row>
    <row r="719" spans="1:11" ht="20.25">
      <c r="A719" s="352"/>
      <c r="B719" s="352"/>
      <c r="C719" s="352"/>
      <c r="D719" s="352"/>
      <c r="E719" s="352"/>
      <c r="F719" s="352"/>
      <c r="G719" s="352"/>
      <c r="H719" s="352"/>
      <c r="I719" s="352"/>
      <c r="J719" s="352"/>
      <c r="K719" s="352"/>
    </row>
    <row r="720" spans="1:11" ht="20.25">
      <c r="A720" s="352"/>
      <c r="B720" s="352"/>
      <c r="C720" s="352"/>
      <c r="D720" s="352"/>
      <c r="E720" s="352"/>
      <c r="F720" s="352"/>
      <c r="G720" s="352"/>
      <c r="H720" s="352"/>
      <c r="I720" s="352"/>
      <c r="J720" s="352"/>
      <c r="K720" s="352"/>
    </row>
    <row r="721" spans="1:11" ht="20.25">
      <c r="A721" s="352"/>
      <c r="B721" s="352"/>
      <c r="C721" s="352"/>
      <c r="D721" s="352"/>
      <c r="E721" s="352"/>
      <c r="F721" s="352"/>
      <c r="G721" s="352"/>
      <c r="H721" s="352"/>
      <c r="I721" s="352"/>
      <c r="J721" s="352"/>
      <c r="K721" s="352"/>
    </row>
    <row r="722" spans="1:11" ht="20.25">
      <c r="A722" s="352"/>
      <c r="B722" s="352"/>
      <c r="C722" s="352"/>
      <c r="D722" s="352"/>
      <c r="E722" s="352"/>
      <c r="F722" s="352"/>
      <c r="G722" s="352"/>
      <c r="H722" s="352"/>
      <c r="I722" s="352"/>
      <c r="J722" s="352"/>
      <c r="K722" s="352"/>
    </row>
    <row r="723" spans="1:11" ht="20.25">
      <c r="A723" s="352"/>
      <c r="B723" s="352"/>
      <c r="C723" s="352"/>
      <c r="D723" s="352"/>
      <c r="E723" s="352"/>
      <c r="F723" s="352"/>
      <c r="G723" s="352"/>
      <c r="H723" s="352"/>
      <c r="I723" s="352"/>
      <c r="J723" s="352"/>
      <c r="K723" s="352"/>
    </row>
    <row r="724" spans="1:11" ht="20.25">
      <c r="A724" s="352"/>
      <c r="B724" s="352"/>
      <c r="C724" s="352"/>
      <c r="D724" s="352"/>
      <c r="E724" s="352"/>
      <c r="F724" s="352"/>
      <c r="G724" s="352"/>
      <c r="H724" s="352"/>
      <c r="I724" s="352"/>
      <c r="J724" s="352"/>
      <c r="K724" s="352"/>
    </row>
    <row r="725" spans="1:11" ht="20.25">
      <c r="A725" s="352"/>
      <c r="B725" s="352"/>
      <c r="C725" s="352"/>
      <c r="D725" s="352"/>
      <c r="E725" s="352"/>
      <c r="F725" s="352"/>
      <c r="G725" s="352"/>
      <c r="H725" s="352"/>
      <c r="I725" s="352"/>
      <c r="J725" s="352"/>
      <c r="K725" s="352"/>
    </row>
    <row r="726" spans="1:11" ht="20.25">
      <c r="A726" s="352"/>
      <c r="B726" s="352"/>
      <c r="C726" s="352"/>
      <c r="D726" s="352"/>
      <c r="E726" s="352"/>
      <c r="F726" s="352"/>
      <c r="G726" s="352"/>
      <c r="H726" s="352"/>
      <c r="I726" s="352"/>
      <c r="J726" s="352"/>
      <c r="K726" s="352"/>
    </row>
    <row r="727" spans="1:11" ht="20.25">
      <c r="A727" s="352"/>
      <c r="B727" s="352"/>
      <c r="C727" s="352"/>
      <c r="D727" s="352"/>
      <c r="E727" s="352"/>
      <c r="F727" s="352"/>
      <c r="G727" s="352"/>
      <c r="H727" s="352"/>
      <c r="I727" s="352"/>
      <c r="J727" s="352"/>
      <c r="K727" s="352"/>
    </row>
    <row r="728" spans="1:11" ht="20.25">
      <c r="A728" s="352"/>
      <c r="B728" s="352"/>
      <c r="C728" s="352"/>
      <c r="D728" s="352"/>
      <c r="E728" s="352"/>
      <c r="F728" s="352"/>
      <c r="G728" s="352"/>
      <c r="H728" s="352"/>
      <c r="I728" s="352"/>
      <c r="J728" s="352"/>
      <c r="K728" s="352"/>
    </row>
    <row r="729" spans="1:11" ht="20.25">
      <c r="A729" s="352"/>
      <c r="B729" s="352"/>
      <c r="C729" s="352"/>
      <c r="D729" s="352"/>
      <c r="E729" s="352"/>
      <c r="F729" s="352"/>
      <c r="G729" s="352"/>
      <c r="H729" s="352"/>
      <c r="I729" s="352"/>
      <c r="J729" s="352"/>
      <c r="K729" s="352"/>
    </row>
    <row r="730" spans="1:11" ht="20.25">
      <c r="A730" s="352"/>
      <c r="B730" s="352"/>
      <c r="C730" s="352"/>
      <c r="D730" s="352"/>
      <c r="E730" s="352"/>
      <c r="F730" s="352"/>
      <c r="G730" s="352"/>
      <c r="H730" s="352"/>
      <c r="I730" s="352"/>
      <c r="J730" s="352"/>
      <c r="K730" s="352"/>
    </row>
    <row r="731" spans="1:11" ht="20.25">
      <c r="A731" s="352"/>
      <c r="B731" s="352"/>
      <c r="C731" s="352"/>
      <c r="D731" s="352"/>
      <c r="E731" s="352"/>
      <c r="F731" s="352"/>
      <c r="G731" s="352"/>
      <c r="H731" s="352"/>
      <c r="I731" s="352"/>
      <c r="J731" s="352"/>
      <c r="K731" s="352"/>
    </row>
    <row r="732" spans="1:11" ht="20.25">
      <c r="A732" s="352"/>
      <c r="B732" s="352"/>
      <c r="C732" s="352"/>
      <c r="D732" s="352"/>
      <c r="E732" s="352"/>
      <c r="F732" s="352"/>
      <c r="G732" s="352"/>
      <c r="H732" s="352"/>
      <c r="I732" s="352"/>
      <c r="J732" s="352"/>
      <c r="K732" s="352"/>
    </row>
    <row r="733" spans="1:11" ht="20.25">
      <c r="A733" s="352"/>
      <c r="B733" s="352"/>
      <c r="C733" s="352"/>
      <c r="D733" s="352"/>
      <c r="E733" s="352"/>
      <c r="F733" s="352"/>
      <c r="G733" s="352"/>
      <c r="H733" s="352"/>
      <c r="I733" s="352"/>
      <c r="J733" s="352"/>
      <c r="K733" s="352"/>
    </row>
    <row r="734" spans="1:11" ht="20.25">
      <c r="A734" s="352"/>
      <c r="B734" s="352"/>
      <c r="C734" s="352"/>
      <c r="D734" s="352"/>
      <c r="E734" s="352"/>
      <c r="F734" s="352"/>
      <c r="G734" s="352"/>
      <c r="H734" s="352"/>
      <c r="I734" s="352"/>
      <c r="J734" s="352"/>
      <c r="K734" s="352"/>
    </row>
    <row r="735" spans="1:11" ht="20.25">
      <c r="A735" s="352"/>
      <c r="B735" s="352"/>
      <c r="C735" s="352"/>
      <c r="D735" s="352"/>
      <c r="E735" s="352"/>
      <c r="F735" s="352"/>
      <c r="G735" s="352"/>
      <c r="H735" s="352"/>
      <c r="I735" s="352"/>
      <c r="J735" s="352"/>
      <c r="K735" s="352"/>
    </row>
    <row r="736" spans="1:11" ht="20.25">
      <c r="A736" s="352"/>
      <c r="B736" s="352"/>
      <c r="C736" s="352"/>
      <c r="D736" s="352"/>
      <c r="E736" s="352"/>
      <c r="F736" s="352"/>
      <c r="G736" s="352"/>
      <c r="H736" s="352"/>
      <c r="I736" s="352"/>
      <c r="J736" s="352"/>
      <c r="K736" s="352"/>
    </row>
    <row r="737" spans="1:11" ht="20.25">
      <c r="A737" s="352"/>
      <c r="B737" s="352"/>
      <c r="C737" s="352"/>
      <c r="D737" s="352"/>
      <c r="E737" s="352"/>
      <c r="F737" s="352"/>
      <c r="G737" s="352"/>
      <c r="H737" s="352"/>
      <c r="I737" s="352"/>
      <c r="J737" s="352"/>
      <c r="K737" s="352"/>
    </row>
    <row r="738" spans="1:11" ht="20.25">
      <c r="A738" s="352"/>
      <c r="B738" s="352"/>
      <c r="C738" s="352"/>
      <c r="D738" s="352"/>
      <c r="E738" s="352"/>
      <c r="F738" s="352"/>
      <c r="G738" s="352"/>
      <c r="H738" s="352"/>
      <c r="I738" s="352"/>
      <c r="J738" s="352"/>
      <c r="K738" s="352"/>
    </row>
    <row r="739" spans="1:11" ht="20.25">
      <c r="A739" s="352"/>
      <c r="B739" s="352"/>
      <c r="C739" s="352"/>
      <c r="D739" s="352"/>
      <c r="E739" s="352"/>
      <c r="F739" s="352"/>
      <c r="G739" s="352"/>
      <c r="H739" s="352"/>
      <c r="I739" s="352"/>
      <c r="J739" s="352"/>
      <c r="K739" s="352"/>
    </row>
    <row r="740" spans="1:11" ht="20.25">
      <c r="A740" s="352"/>
      <c r="B740" s="352"/>
      <c r="C740" s="352"/>
      <c r="D740" s="352"/>
      <c r="E740" s="352"/>
      <c r="F740" s="352"/>
      <c r="G740" s="352"/>
      <c r="H740" s="352"/>
      <c r="I740" s="352"/>
      <c r="J740" s="352"/>
      <c r="K740" s="352"/>
    </row>
    <row r="741" spans="1:11" ht="20.25">
      <c r="A741" s="352"/>
      <c r="B741" s="352"/>
      <c r="C741" s="352"/>
      <c r="D741" s="352"/>
      <c r="E741" s="352"/>
      <c r="F741" s="352"/>
      <c r="G741" s="352"/>
      <c r="H741" s="352"/>
      <c r="I741" s="352"/>
      <c r="J741" s="352"/>
      <c r="K741" s="352"/>
    </row>
    <row r="742" spans="1:11" ht="20.25">
      <c r="A742" s="352"/>
      <c r="B742" s="352"/>
      <c r="C742" s="352"/>
      <c r="D742" s="352"/>
      <c r="E742" s="352"/>
      <c r="F742" s="352"/>
      <c r="G742" s="352"/>
      <c r="H742" s="352"/>
      <c r="I742" s="352"/>
      <c r="J742" s="352"/>
      <c r="K742" s="352"/>
    </row>
    <row r="743" spans="1:11" ht="20.25">
      <c r="A743" s="352"/>
      <c r="B743" s="352"/>
      <c r="C743" s="352"/>
      <c r="D743" s="352"/>
      <c r="E743" s="352"/>
      <c r="F743" s="352"/>
      <c r="G743" s="352"/>
      <c r="H743" s="352"/>
      <c r="I743" s="352"/>
      <c r="J743" s="352"/>
      <c r="K743" s="352"/>
    </row>
    <row r="744" spans="1:11" ht="20.25">
      <c r="A744" s="352"/>
      <c r="B744" s="352"/>
      <c r="C744" s="352"/>
      <c r="D744" s="352"/>
      <c r="E744" s="352"/>
      <c r="F744" s="352"/>
      <c r="G744" s="352"/>
      <c r="H744" s="352"/>
      <c r="I744" s="352"/>
      <c r="J744" s="352"/>
      <c r="K744" s="352"/>
    </row>
    <row r="745" spans="1:11" ht="20.25">
      <c r="A745" s="352"/>
      <c r="B745" s="352"/>
      <c r="C745" s="352"/>
      <c r="D745" s="352"/>
      <c r="E745" s="352"/>
      <c r="F745" s="352"/>
      <c r="G745" s="352"/>
      <c r="H745" s="352"/>
      <c r="I745" s="352"/>
      <c r="J745" s="352"/>
      <c r="K745" s="352"/>
    </row>
    <row r="746" spans="1:11" ht="20.25">
      <c r="A746" s="352"/>
      <c r="B746" s="352"/>
      <c r="C746" s="352"/>
      <c r="D746" s="352"/>
      <c r="E746" s="352"/>
      <c r="F746" s="352"/>
      <c r="G746" s="352"/>
      <c r="H746" s="352"/>
      <c r="I746" s="352"/>
      <c r="J746" s="352"/>
      <c r="K746" s="352"/>
    </row>
    <row r="747" spans="1:11" ht="20.25">
      <c r="A747" s="352"/>
      <c r="B747" s="352"/>
      <c r="C747" s="352"/>
      <c r="D747" s="352"/>
      <c r="E747" s="352"/>
      <c r="F747" s="352"/>
      <c r="G747" s="352"/>
      <c r="H747" s="352"/>
      <c r="I747" s="352"/>
      <c r="J747" s="352"/>
      <c r="K747" s="352"/>
    </row>
    <row r="748" spans="1:11" ht="20.25">
      <c r="A748" s="352"/>
      <c r="B748" s="352"/>
      <c r="C748" s="352"/>
      <c r="D748" s="352"/>
      <c r="E748" s="352"/>
      <c r="F748" s="352"/>
      <c r="G748" s="352"/>
      <c r="H748" s="352"/>
      <c r="I748" s="352"/>
      <c r="J748" s="352"/>
      <c r="K748" s="352"/>
    </row>
    <row r="749" spans="1:11" ht="20.25">
      <c r="A749" s="352"/>
      <c r="B749" s="352"/>
      <c r="C749" s="352"/>
      <c r="D749" s="352"/>
      <c r="E749" s="352"/>
      <c r="F749" s="352"/>
      <c r="G749" s="352"/>
      <c r="H749" s="352"/>
      <c r="I749" s="352"/>
      <c r="J749" s="352"/>
      <c r="K749" s="352"/>
    </row>
    <row r="750" spans="1:11" ht="20.25">
      <c r="A750" s="352"/>
      <c r="B750" s="352"/>
      <c r="C750" s="352"/>
      <c r="D750" s="352"/>
      <c r="E750" s="352"/>
      <c r="F750" s="352"/>
      <c r="G750" s="352"/>
      <c r="H750" s="352"/>
      <c r="I750" s="352"/>
      <c r="J750" s="352"/>
      <c r="K750" s="352"/>
    </row>
    <row r="751" spans="1:11" ht="20.25">
      <c r="A751" s="352"/>
      <c r="B751" s="352"/>
      <c r="C751" s="352"/>
      <c r="D751" s="352"/>
      <c r="E751" s="352"/>
      <c r="F751" s="352"/>
      <c r="G751" s="352"/>
      <c r="H751" s="352"/>
      <c r="I751" s="352"/>
      <c r="J751" s="352"/>
      <c r="K751" s="352"/>
    </row>
    <row r="752" spans="1:11" ht="20.25">
      <c r="A752" s="352"/>
      <c r="B752" s="352"/>
      <c r="C752" s="352"/>
      <c r="D752" s="352"/>
      <c r="E752" s="352"/>
      <c r="F752" s="352"/>
      <c r="G752" s="352"/>
      <c r="H752" s="352"/>
      <c r="I752" s="352"/>
      <c r="J752" s="352"/>
      <c r="K752" s="352"/>
    </row>
    <row r="753" spans="1:11" ht="20.25">
      <c r="A753" s="352"/>
      <c r="B753" s="352"/>
      <c r="C753" s="352"/>
      <c r="D753" s="352"/>
      <c r="E753" s="352"/>
      <c r="F753" s="352"/>
      <c r="G753" s="352"/>
      <c r="H753" s="352"/>
      <c r="I753" s="352"/>
      <c r="J753" s="352"/>
      <c r="K753" s="352"/>
    </row>
    <row r="754" spans="1:11" ht="20.25">
      <c r="A754" s="352"/>
      <c r="B754" s="352"/>
      <c r="C754" s="352"/>
      <c r="D754" s="352"/>
      <c r="E754" s="352"/>
      <c r="F754" s="352"/>
      <c r="G754" s="352"/>
      <c r="H754" s="352"/>
      <c r="I754" s="352"/>
      <c r="J754" s="352"/>
      <c r="K754" s="352"/>
    </row>
  </sheetData>
  <mergeCells count="81">
    <mergeCell ref="B42:C42"/>
    <mergeCell ref="F42:G42"/>
    <mergeCell ref="H34:I34"/>
    <mergeCell ref="J34:K34"/>
    <mergeCell ref="H35:I35"/>
    <mergeCell ref="J35:K35"/>
    <mergeCell ref="H36:I36"/>
    <mergeCell ref="J36:K36"/>
    <mergeCell ref="H37:I37"/>
    <mergeCell ref="J37:K37"/>
    <mergeCell ref="A38:K38"/>
    <mergeCell ref="B39:I39"/>
    <mergeCell ref="A40:K40"/>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H9:I9"/>
    <mergeCell ref="J9:K9"/>
    <mergeCell ref="A5:B5"/>
    <mergeCell ref="C5:E5"/>
    <mergeCell ref="F5:G5"/>
    <mergeCell ref="H5:I5"/>
    <mergeCell ref="A6:B6"/>
    <mergeCell ref="C6:E6"/>
    <mergeCell ref="F6:H6"/>
    <mergeCell ref="A7:K7"/>
    <mergeCell ref="B8:D8"/>
    <mergeCell ref="E8:G8"/>
    <mergeCell ref="H8:I8"/>
    <mergeCell ref="J8:K8"/>
    <mergeCell ref="F2:K2"/>
    <mergeCell ref="A3:K3"/>
    <mergeCell ref="A4:B4"/>
    <mergeCell ref="C4:E4"/>
    <mergeCell ref="F4:G4"/>
    <mergeCell ref="H4:I4"/>
  </mergeCells>
  <phoneticPr fontId="59"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181" customWidth="1"/>
    <col min="4" max="4" width="6" style="181" customWidth="1"/>
    <col min="5" max="5" width="7.625" style="181" customWidth="1"/>
    <col min="6" max="6" width="9.375" style="181" customWidth="1"/>
    <col min="7" max="7" width="7.25" style="288" customWidth="1"/>
    <col min="8" max="8" width="7.5" style="181" customWidth="1"/>
    <col min="9" max="9" width="4.75" style="181" customWidth="1"/>
    <col min="10" max="10" width="5.625" style="181" customWidth="1"/>
    <col min="11" max="11" width="4.75" style="181" customWidth="1"/>
    <col min="12" max="12" width="13.125" style="181" customWidth="1"/>
    <col min="13" max="13" width="6.125" style="181" customWidth="1"/>
    <col min="14" max="14" width="4.25" style="181" customWidth="1"/>
    <col min="15" max="15" width="6.125" style="181" customWidth="1"/>
    <col min="16" max="16" width="7.875" style="288" customWidth="1"/>
    <col min="17" max="17" width="6.5" style="181" customWidth="1"/>
    <col min="18" max="18" width="4.75" style="181" customWidth="1"/>
    <col min="19" max="19" width="14.5" style="181" customWidth="1"/>
    <col min="20" max="20" width="10.375" style="181" customWidth="1"/>
    <col min="21" max="21" width="5.25" style="358" customWidth="1"/>
    <col min="22" max="22" width="4.875" style="358" customWidth="1"/>
    <col min="23" max="23" width="22" style="358" customWidth="1"/>
    <col min="24" max="24" width="9.5" style="181" bestFit="1" customWidth="1"/>
    <col min="25" max="25" width="10.125" style="181" customWidth="1"/>
    <col min="26" max="26" width="10" style="181" customWidth="1"/>
    <col min="27" max="27" width="8.375" style="181" customWidth="1"/>
    <col min="28" max="28" width="21.25" style="359" customWidth="1"/>
    <col min="29" max="29" width="15.5" style="359" customWidth="1"/>
    <col min="30" max="30" width="20.25" style="359" bestFit="1" customWidth="1"/>
    <col min="31" max="31" width="16.625" style="359" customWidth="1"/>
    <col min="32" max="33" width="11.375" style="359" customWidth="1"/>
    <col min="34" max="34" width="13.375" style="359" customWidth="1"/>
    <col min="35" max="35" width="11.375" style="358" customWidth="1"/>
    <col min="36" max="39" width="6.125" style="359" customWidth="1"/>
    <col min="40" max="42" width="6.125" style="181" customWidth="1"/>
    <col min="43" max="45" width="13.375" style="181" customWidth="1"/>
    <col min="46" max="51" width="6.125" style="181" customWidth="1"/>
    <col min="52" max="54" width="13.625" style="181" customWidth="1"/>
    <col min="55" max="60" width="6.125" style="181" customWidth="1"/>
    <col min="61" max="61" width="15.375" style="181" customWidth="1"/>
    <col min="62" max="64" width="6.125" style="181" customWidth="1"/>
    <col min="65" max="67" width="11" style="181" customWidth="1"/>
    <col min="68" max="74" width="6.125" style="181" customWidth="1"/>
    <col min="75" max="16384" width="9" style="181"/>
  </cols>
  <sheetData>
    <row r="1" spans="1:76" ht="22.5">
      <c r="A1" s="927" t="s">
        <v>623</v>
      </c>
      <c r="B1" s="927"/>
      <c r="C1" s="927"/>
      <c r="D1" s="927"/>
      <c r="E1" s="927"/>
      <c r="F1" s="927"/>
      <c r="G1" s="927"/>
      <c r="H1" s="927"/>
      <c r="I1" s="927"/>
      <c r="J1" s="927"/>
      <c r="K1" s="927"/>
      <c r="L1" s="927"/>
      <c r="M1" s="927"/>
      <c r="N1" s="927"/>
      <c r="O1" s="927"/>
      <c r="P1" s="927"/>
      <c r="Q1" s="927"/>
      <c r="R1" s="355"/>
      <c r="S1" s="356" t="s">
        <v>900</v>
      </c>
      <c r="T1" s="357" t="s">
        <v>901</v>
      </c>
    </row>
    <row r="2" spans="1:76" ht="20.100000000000001" customHeight="1" thickBot="1">
      <c r="A2" s="963" t="s">
        <v>16</v>
      </c>
      <c r="B2" s="964"/>
      <c r="C2" s="964"/>
      <c r="D2" s="964" t="e">
        <f>'作(5)'!C5</f>
        <v>#REF!</v>
      </c>
      <c r="E2" s="964"/>
      <c r="F2" s="964"/>
      <c r="G2" s="964"/>
      <c r="H2" s="964"/>
      <c r="I2" s="964"/>
      <c r="J2" s="964"/>
      <c r="K2" s="964"/>
      <c r="L2" s="964"/>
      <c r="M2" s="964"/>
      <c r="N2" s="965" t="s">
        <v>451</v>
      </c>
      <c r="O2" s="965"/>
      <c r="P2" s="966" t="e">
        <f>实木!B5</f>
        <v>#REF!</v>
      </c>
      <c r="Q2" s="966"/>
      <c r="T2" s="357" t="s">
        <v>902</v>
      </c>
      <c r="AA2" s="360"/>
      <c r="AB2" s="361"/>
      <c r="AC2" s="361"/>
      <c r="AD2" s="361"/>
      <c r="AE2" s="361"/>
      <c r="AF2" s="361"/>
      <c r="AG2" s="361"/>
      <c r="AH2" s="361"/>
      <c r="AI2" s="361"/>
      <c r="AJ2" s="361"/>
      <c r="AK2" s="361"/>
      <c r="AL2" s="361"/>
      <c r="AM2" s="361"/>
      <c r="AN2" s="361"/>
      <c r="AO2" s="361"/>
      <c r="AP2" s="361"/>
      <c r="AQ2" s="360"/>
      <c r="AR2" s="360"/>
      <c r="AS2" s="360"/>
      <c r="AT2" s="360"/>
      <c r="AU2" s="360"/>
      <c r="AV2" s="360"/>
      <c r="AW2" s="360"/>
      <c r="AX2" s="360"/>
      <c r="AY2" s="360"/>
      <c r="AZ2" s="362" t="s">
        <v>903</v>
      </c>
      <c r="BA2" s="362"/>
      <c r="BB2" s="362"/>
      <c r="BC2" s="362"/>
      <c r="BD2" s="362"/>
      <c r="BE2" s="362"/>
      <c r="BF2" s="362"/>
      <c r="BG2" s="362"/>
      <c r="BH2" s="362"/>
      <c r="BI2" s="362"/>
      <c r="BJ2" s="362"/>
      <c r="BK2" s="362"/>
      <c r="BL2" s="362"/>
      <c r="BM2" s="362" t="s">
        <v>904</v>
      </c>
      <c r="BN2" s="362"/>
      <c r="BO2" s="362"/>
      <c r="BP2" s="362"/>
      <c r="BQ2" s="362"/>
      <c r="BR2" s="362"/>
      <c r="BS2" s="362"/>
      <c r="BT2" s="362"/>
      <c r="BU2" s="362"/>
      <c r="BV2" s="362"/>
    </row>
    <row r="3" spans="1:76" ht="20.100000000000001" customHeight="1">
      <c r="A3" s="975" t="s">
        <v>9</v>
      </c>
      <c r="B3" s="968"/>
      <c r="C3" s="968"/>
      <c r="D3" s="968" t="e">
        <f>'作(5)'!C4</f>
        <v>#REF!</v>
      </c>
      <c r="E3" s="968"/>
      <c r="F3" s="968"/>
      <c r="G3" s="968"/>
      <c r="H3" s="968"/>
      <c r="I3" s="968"/>
      <c r="J3" s="968" t="s">
        <v>17</v>
      </c>
      <c r="K3" s="968"/>
      <c r="L3" s="967">
        <f>'作(5)'!H5</f>
        <v>0</v>
      </c>
      <c r="M3" s="967"/>
      <c r="N3" s="968" t="s">
        <v>11</v>
      </c>
      <c r="O3" s="968"/>
      <c r="P3" s="970" t="s">
        <v>905</v>
      </c>
      <c r="Q3" s="971"/>
      <c r="T3" s="363" t="s">
        <v>906</v>
      </c>
      <c r="AA3" s="364"/>
      <c r="AB3" s="365"/>
      <c r="AC3" s="365"/>
      <c r="AD3" s="365" t="s">
        <v>907</v>
      </c>
      <c r="AE3" s="365" t="s">
        <v>908</v>
      </c>
      <c r="AF3" s="366" t="s">
        <v>909</v>
      </c>
      <c r="AG3" s="366"/>
      <c r="AH3" s="366"/>
      <c r="AI3" s="366"/>
      <c r="AJ3" s="366"/>
      <c r="AK3" s="366"/>
      <c r="AL3" s="366"/>
      <c r="AM3" s="366"/>
      <c r="AN3" s="366" t="s">
        <v>910</v>
      </c>
      <c r="AO3" s="366" t="s">
        <v>911</v>
      </c>
      <c r="AP3" s="366"/>
      <c r="AQ3" s="367" t="s">
        <v>912</v>
      </c>
      <c r="AR3" s="367"/>
      <c r="AS3" s="367"/>
      <c r="AT3" s="367"/>
      <c r="AU3" s="367"/>
      <c r="AV3" s="367"/>
      <c r="AW3" s="368" t="s">
        <v>910</v>
      </c>
      <c r="AX3" s="368" t="s">
        <v>911</v>
      </c>
      <c r="AY3" s="367"/>
      <c r="AZ3" s="369" t="s">
        <v>913</v>
      </c>
      <c r="BA3" s="369"/>
      <c r="BB3" s="369"/>
      <c r="BC3" s="369"/>
      <c r="BD3" s="369"/>
      <c r="BE3" s="369"/>
      <c r="BF3" s="369" t="s">
        <v>910</v>
      </c>
      <c r="BG3" s="369"/>
      <c r="BH3" s="369"/>
      <c r="BI3" s="370" t="s">
        <v>914</v>
      </c>
      <c r="BJ3" s="370" t="s">
        <v>910</v>
      </c>
      <c r="BK3" s="370" t="s">
        <v>911</v>
      </c>
      <c r="BL3" s="370"/>
      <c r="BM3" s="371" t="s">
        <v>915</v>
      </c>
      <c r="BN3" s="371"/>
      <c r="BO3" s="371"/>
      <c r="BP3" s="371"/>
      <c r="BQ3" s="371"/>
      <c r="BR3" s="371"/>
      <c r="BS3" s="371"/>
      <c r="BT3" s="371"/>
      <c r="BU3" s="371"/>
      <c r="BV3" s="360" t="s">
        <v>916</v>
      </c>
    </row>
    <row r="4" spans="1:76" ht="20.100000000000001" customHeight="1" thickBot="1">
      <c r="A4" s="973" t="s">
        <v>917</v>
      </c>
      <c r="B4" s="969"/>
      <c r="C4" s="969"/>
      <c r="D4" s="969">
        <f>'作(5)'!H4</f>
        <v>0</v>
      </c>
      <c r="E4" s="969"/>
      <c r="F4" s="969"/>
      <c r="G4" s="969"/>
      <c r="H4" s="969"/>
      <c r="I4" s="969"/>
      <c r="J4" s="969" t="s">
        <v>10</v>
      </c>
      <c r="K4" s="969"/>
      <c r="L4" s="974" t="e">
        <f>'作(5)'!K5</f>
        <v>#REF!</v>
      </c>
      <c r="M4" s="974"/>
      <c r="N4" s="969"/>
      <c r="O4" s="969"/>
      <c r="P4" s="969"/>
      <c r="Q4" s="972"/>
      <c r="R4" s="372"/>
      <c r="S4" s="373"/>
      <c r="T4" s="373"/>
      <c r="U4" s="182" t="s">
        <v>860</v>
      </c>
      <c r="AA4" s="374" t="s">
        <v>918</v>
      </c>
      <c r="AB4" s="374" t="s">
        <v>860</v>
      </c>
      <c r="AC4" s="374" t="s">
        <v>919</v>
      </c>
      <c r="AD4" s="374" t="s">
        <v>920</v>
      </c>
      <c r="AE4" s="374" t="s">
        <v>921</v>
      </c>
      <c r="AF4" s="375" t="s">
        <v>922</v>
      </c>
      <c r="AG4" s="376" t="s">
        <v>923</v>
      </c>
      <c r="AH4" s="376" t="s">
        <v>924</v>
      </c>
      <c r="AI4" s="376" t="s">
        <v>925</v>
      </c>
      <c r="AJ4" s="366">
        <v>1</v>
      </c>
      <c r="AK4" s="366">
        <v>0.5</v>
      </c>
      <c r="AL4" s="366">
        <v>2</v>
      </c>
      <c r="AM4" s="366">
        <v>0.15</v>
      </c>
      <c r="AN4" s="366">
        <v>50</v>
      </c>
      <c r="AO4" s="366">
        <v>1</v>
      </c>
      <c r="AP4" s="366">
        <f>AN4*AO4</f>
        <v>50</v>
      </c>
      <c r="AQ4" s="367" t="s">
        <v>926</v>
      </c>
      <c r="AR4" s="367" t="s">
        <v>923</v>
      </c>
      <c r="AS4" s="367" t="s">
        <v>924</v>
      </c>
      <c r="AT4" s="367">
        <v>1</v>
      </c>
      <c r="AU4" s="367">
        <v>0.5</v>
      </c>
      <c r="AV4" s="367">
        <v>1.2</v>
      </c>
      <c r="AW4" s="367">
        <v>290</v>
      </c>
      <c r="AX4" s="367">
        <v>1</v>
      </c>
      <c r="AY4" s="367">
        <f t="shared" ref="AY4:AY9" si="0">AW4*AX4</f>
        <v>290</v>
      </c>
      <c r="AZ4" s="369" t="s">
        <v>927</v>
      </c>
      <c r="BA4" s="369" t="s">
        <v>928</v>
      </c>
      <c r="BB4" s="369" t="s">
        <v>929</v>
      </c>
      <c r="BC4" s="369">
        <v>1</v>
      </c>
      <c r="BD4" s="369">
        <v>0.5</v>
      </c>
      <c r="BE4" s="369">
        <v>0.5</v>
      </c>
      <c r="BF4" s="369">
        <v>285</v>
      </c>
      <c r="BG4" s="369">
        <v>3</v>
      </c>
      <c r="BH4" s="369">
        <f t="shared" ref="BH4:BH9" si="1">BF4*BG4</f>
        <v>855</v>
      </c>
      <c r="BI4" s="370" t="s">
        <v>930</v>
      </c>
      <c r="BJ4" s="370">
        <v>35</v>
      </c>
      <c r="BK4" s="370">
        <v>2</v>
      </c>
      <c r="BL4" s="370">
        <f>BJ4*BK4</f>
        <v>70</v>
      </c>
      <c r="BM4" s="371"/>
      <c r="BN4" s="371"/>
      <c r="BO4" s="371"/>
      <c r="BP4" s="371"/>
      <c r="BQ4" s="371"/>
      <c r="BR4" s="371"/>
      <c r="BS4" s="371" t="s">
        <v>910</v>
      </c>
      <c r="BT4" s="371"/>
      <c r="BU4" s="371"/>
      <c r="BV4" s="362">
        <v>17</v>
      </c>
      <c r="BW4" s="181">
        <v>1</v>
      </c>
      <c r="BX4" s="181">
        <f>BV4*BW4</f>
        <v>17</v>
      </c>
    </row>
    <row r="5" spans="1:76" ht="20.100000000000001" customHeight="1">
      <c r="A5" s="377" t="s">
        <v>23</v>
      </c>
      <c r="B5" s="378" t="s">
        <v>1</v>
      </c>
      <c r="C5" s="968" t="s">
        <v>19</v>
      </c>
      <c r="D5" s="968"/>
      <c r="E5" s="968" t="s">
        <v>24</v>
      </c>
      <c r="F5" s="968"/>
      <c r="G5" s="379" t="s">
        <v>5</v>
      </c>
      <c r="H5" s="378" t="s">
        <v>3</v>
      </c>
      <c r="I5" s="377" t="s">
        <v>23</v>
      </c>
      <c r="J5" s="378" t="s">
        <v>1</v>
      </c>
      <c r="K5" s="968" t="s">
        <v>19</v>
      </c>
      <c r="L5" s="968"/>
      <c r="M5" s="968" t="s">
        <v>586</v>
      </c>
      <c r="N5" s="968"/>
      <c r="O5" s="968"/>
      <c r="P5" s="380" t="s">
        <v>5</v>
      </c>
      <c r="Q5" s="381" t="s">
        <v>3</v>
      </c>
      <c r="R5" s="372"/>
      <c r="S5" s="373"/>
      <c r="T5" s="373"/>
      <c r="U5" s="182" t="s">
        <v>866</v>
      </c>
      <c r="AA5" s="374" t="s">
        <v>931</v>
      </c>
      <c r="AB5" s="374" t="s">
        <v>862</v>
      </c>
      <c r="AC5" s="374" t="s">
        <v>932</v>
      </c>
      <c r="AD5" s="374" t="s">
        <v>933</v>
      </c>
      <c r="AE5" s="374" t="s">
        <v>934</v>
      </c>
      <c r="AF5" s="375" t="s">
        <v>922</v>
      </c>
      <c r="AG5" s="376" t="s">
        <v>923</v>
      </c>
      <c r="AH5" s="376" t="s">
        <v>924</v>
      </c>
      <c r="AI5" s="376" t="s">
        <v>935</v>
      </c>
      <c r="AJ5" s="366">
        <v>1</v>
      </c>
      <c r="AK5" s="366">
        <v>0.5</v>
      </c>
      <c r="AL5" s="366">
        <v>2</v>
      </c>
      <c r="AM5" s="366">
        <v>0.15</v>
      </c>
      <c r="AN5" s="366">
        <v>280</v>
      </c>
      <c r="AO5" s="366">
        <v>1</v>
      </c>
      <c r="AP5" s="366">
        <f t="shared" ref="AP5:AP9" si="2">AN5*AO5</f>
        <v>280</v>
      </c>
      <c r="AQ5" s="367" t="s">
        <v>936</v>
      </c>
      <c r="AR5" s="367" t="s">
        <v>937</v>
      </c>
      <c r="AS5" s="367" t="s">
        <v>924</v>
      </c>
      <c r="AT5" s="367">
        <v>1</v>
      </c>
      <c r="AU5" s="367">
        <v>0.5</v>
      </c>
      <c r="AV5" s="367">
        <v>0.7</v>
      </c>
      <c r="AW5" s="367">
        <v>315</v>
      </c>
      <c r="AX5" s="367">
        <v>1</v>
      </c>
      <c r="AY5" s="367">
        <f t="shared" si="0"/>
        <v>315</v>
      </c>
      <c r="AZ5" s="369" t="s">
        <v>927</v>
      </c>
      <c r="BA5" s="369" t="s">
        <v>928</v>
      </c>
      <c r="BB5" s="369" t="s">
        <v>929</v>
      </c>
      <c r="BC5" s="369">
        <v>1</v>
      </c>
      <c r="BD5" s="369">
        <v>0.5</v>
      </c>
      <c r="BE5" s="369">
        <v>0.5</v>
      </c>
      <c r="BF5" s="369">
        <v>285</v>
      </c>
      <c r="BG5" s="369">
        <v>3</v>
      </c>
      <c r="BH5" s="369">
        <f t="shared" si="1"/>
        <v>855</v>
      </c>
      <c r="BI5" s="370" t="s">
        <v>930</v>
      </c>
      <c r="BJ5" s="370">
        <v>35</v>
      </c>
      <c r="BK5" s="370">
        <v>4</v>
      </c>
      <c r="BL5" s="370">
        <f t="shared" ref="BL5:BL9" si="3">BJ5*BK5</f>
        <v>140</v>
      </c>
      <c r="BM5" s="371" t="s">
        <v>927</v>
      </c>
      <c r="BN5" s="371" t="s">
        <v>928</v>
      </c>
      <c r="BO5" s="371" t="s">
        <v>929</v>
      </c>
      <c r="BP5" s="371">
        <v>1</v>
      </c>
      <c r="BQ5" s="371">
        <v>0.5</v>
      </c>
      <c r="BR5" s="371">
        <v>0.5</v>
      </c>
      <c r="BS5" s="371">
        <v>323</v>
      </c>
      <c r="BT5" s="371">
        <v>1</v>
      </c>
      <c r="BU5" s="371">
        <f>BS5*BT5</f>
        <v>323</v>
      </c>
      <c r="BV5" s="362"/>
    </row>
    <row r="6" spans="1:76" ht="20.100000000000001" customHeight="1">
      <c r="A6" s="976" t="s">
        <v>938</v>
      </c>
      <c r="B6" s="382">
        <v>1</v>
      </c>
      <c r="C6" s="977" t="s">
        <v>939</v>
      </c>
      <c r="D6" s="977"/>
      <c r="E6" s="977" t="str">
        <f>'作(5)'!J8</f>
        <v>18厚EO级素刨花板</v>
      </c>
      <c r="F6" s="977"/>
      <c r="G6" s="383">
        <f>'作(5)'!N38</f>
        <v>0</v>
      </c>
      <c r="H6" s="382" t="s">
        <v>25</v>
      </c>
      <c r="I6" s="976" t="s">
        <v>55</v>
      </c>
      <c r="J6" s="382">
        <v>1</v>
      </c>
      <c r="K6" s="977" t="str">
        <f>VLOOKUP('作(5)'!F6,AB:AE,4,0)</f>
        <v>红樱桃木皮封边</v>
      </c>
      <c r="L6" s="977"/>
      <c r="M6" s="384">
        <v>1</v>
      </c>
      <c r="N6" s="385" t="s">
        <v>940</v>
      </c>
      <c r="O6" s="386">
        <v>24</v>
      </c>
      <c r="P6" s="387">
        <f>'作(5)'!L38</f>
        <v>0</v>
      </c>
      <c r="Q6" s="388" t="s">
        <v>21</v>
      </c>
      <c r="U6" s="182" t="s">
        <v>875</v>
      </c>
      <c r="AA6" s="374" t="s">
        <v>931</v>
      </c>
      <c r="AB6" s="374" t="s">
        <v>866</v>
      </c>
      <c r="AC6" s="374" t="s">
        <v>941</v>
      </c>
      <c r="AD6" s="374" t="s">
        <v>942</v>
      </c>
      <c r="AE6" s="374" t="s">
        <v>943</v>
      </c>
      <c r="AF6" s="375" t="s">
        <v>922</v>
      </c>
      <c r="AG6" s="376" t="s">
        <v>923</v>
      </c>
      <c r="AH6" s="376" t="s">
        <v>924</v>
      </c>
      <c r="AI6" s="376" t="s">
        <v>944</v>
      </c>
      <c r="AJ6" s="366">
        <v>1</v>
      </c>
      <c r="AK6" s="366">
        <v>0.5</v>
      </c>
      <c r="AL6" s="366">
        <v>2</v>
      </c>
      <c r="AM6" s="366">
        <v>0.15</v>
      </c>
      <c r="AN6" s="366">
        <v>50</v>
      </c>
      <c r="AO6" s="366">
        <v>1</v>
      </c>
      <c r="AP6" s="366">
        <f t="shared" si="2"/>
        <v>50</v>
      </c>
      <c r="AQ6" s="367" t="s">
        <v>936</v>
      </c>
      <c r="AR6" s="367" t="s">
        <v>937</v>
      </c>
      <c r="AS6" s="367" t="s">
        <v>924</v>
      </c>
      <c r="AT6" s="367">
        <v>1</v>
      </c>
      <c r="AU6" s="367">
        <v>0.5</v>
      </c>
      <c r="AV6" s="367">
        <v>0.7</v>
      </c>
      <c r="AW6" s="367">
        <v>290</v>
      </c>
      <c r="AX6" s="367">
        <v>1</v>
      </c>
      <c r="AY6" s="367">
        <f t="shared" si="0"/>
        <v>290</v>
      </c>
      <c r="AZ6" s="369" t="s">
        <v>927</v>
      </c>
      <c r="BA6" s="369" t="s">
        <v>928</v>
      </c>
      <c r="BB6" s="369" t="s">
        <v>929</v>
      </c>
      <c r="BC6" s="369">
        <v>1</v>
      </c>
      <c r="BD6" s="369">
        <v>0.5</v>
      </c>
      <c r="BE6" s="369">
        <v>0.5</v>
      </c>
      <c r="BF6" s="369">
        <v>285</v>
      </c>
      <c r="BG6" s="369">
        <v>3</v>
      </c>
      <c r="BH6" s="369">
        <f t="shared" si="1"/>
        <v>855</v>
      </c>
      <c r="BI6" s="370" t="s">
        <v>930</v>
      </c>
      <c r="BJ6" s="370">
        <v>35</v>
      </c>
      <c r="BK6" s="370">
        <v>4</v>
      </c>
      <c r="BL6" s="370">
        <f t="shared" si="3"/>
        <v>140</v>
      </c>
      <c r="BM6" s="371"/>
      <c r="BN6" s="371"/>
      <c r="BO6" s="371"/>
      <c r="BP6" s="371"/>
      <c r="BQ6" s="371"/>
      <c r="BR6" s="371"/>
      <c r="BS6" s="371"/>
      <c r="BT6" s="371"/>
      <c r="BU6" s="371"/>
      <c r="BV6" s="362">
        <v>17</v>
      </c>
      <c r="BW6" s="181">
        <v>1</v>
      </c>
      <c r="BX6" s="181">
        <f>BV6*BW6</f>
        <v>17</v>
      </c>
    </row>
    <row r="7" spans="1:76" ht="20.100000000000001" customHeight="1">
      <c r="A7" s="976"/>
      <c r="B7" s="382">
        <v>2</v>
      </c>
      <c r="C7" s="977"/>
      <c r="D7" s="977"/>
      <c r="E7" s="977"/>
      <c r="F7" s="977"/>
      <c r="G7" s="383"/>
      <c r="H7" s="382"/>
      <c r="I7" s="976"/>
      <c r="J7" s="382">
        <v>2</v>
      </c>
      <c r="K7" s="977" t="str">
        <f>+K6</f>
        <v>红樱桃木皮封边</v>
      </c>
      <c r="L7" s="977"/>
      <c r="M7" s="384">
        <v>1</v>
      </c>
      <c r="N7" s="385" t="s">
        <v>940</v>
      </c>
      <c r="O7" s="386">
        <v>56</v>
      </c>
      <c r="P7" s="387"/>
      <c r="Q7" s="388" t="s">
        <v>21</v>
      </c>
      <c r="AA7" s="374" t="s">
        <v>931</v>
      </c>
      <c r="AB7" s="374" t="s">
        <v>873</v>
      </c>
      <c r="AC7" s="374" t="s">
        <v>945</v>
      </c>
      <c r="AD7" s="374" t="s">
        <v>942</v>
      </c>
      <c r="AE7" s="374" t="s">
        <v>946</v>
      </c>
      <c r="AF7" s="375" t="s">
        <v>922</v>
      </c>
      <c r="AG7" s="376" t="s">
        <v>923</v>
      </c>
      <c r="AH7" s="376" t="s">
        <v>924</v>
      </c>
      <c r="AI7" s="376" t="s">
        <v>944</v>
      </c>
      <c r="AJ7" s="366">
        <v>1</v>
      </c>
      <c r="AK7" s="366">
        <v>0.5</v>
      </c>
      <c r="AL7" s="366">
        <v>2</v>
      </c>
      <c r="AM7" s="366">
        <v>0.15</v>
      </c>
      <c r="AN7" s="366">
        <v>200</v>
      </c>
      <c r="AO7" s="366">
        <v>1</v>
      </c>
      <c r="AP7" s="366">
        <f t="shared" si="2"/>
        <v>200</v>
      </c>
      <c r="AQ7" s="367" t="s">
        <v>936</v>
      </c>
      <c r="AR7" s="367" t="s">
        <v>937</v>
      </c>
      <c r="AS7" s="367" t="s">
        <v>924</v>
      </c>
      <c r="AT7" s="367">
        <v>1</v>
      </c>
      <c r="AU7" s="367">
        <v>0.5</v>
      </c>
      <c r="AV7" s="367">
        <v>0.7</v>
      </c>
      <c r="AW7" s="367">
        <v>315</v>
      </c>
      <c r="AX7" s="367">
        <v>1</v>
      </c>
      <c r="AY7" s="367">
        <f t="shared" si="0"/>
        <v>315</v>
      </c>
      <c r="AZ7" s="369" t="s">
        <v>927</v>
      </c>
      <c r="BA7" s="369" t="s">
        <v>928</v>
      </c>
      <c r="BB7" s="369" t="s">
        <v>929</v>
      </c>
      <c r="BC7" s="369">
        <v>1</v>
      </c>
      <c r="BD7" s="369">
        <v>0.5</v>
      </c>
      <c r="BE7" s="369">
        <v>0.5</v>
      </c>
      <c r="BF7" s="369">
        <v>285</v>
      </c>
      <c r="BG7" s="369">
        <v>3</v>
      </c>
      <c r="BH7" s="369">
        <f t="shared" si="1"/>
        <v>855</v>
      </c>
      <c r="BI7" s="370" t="s">
        <v>930</v>
      </c>
      <c r="BJ7" s="370">
        <v>35</v>
      </c>
      <c r="BK7" s="370">
        <v>4</v>
      </c>
      <c r="BL7" s="370">
        <f t="shared" si="3"/>
        <v>140</v>
      </c>
      <c r="BM7" s="371" t="s">
        <v>927</v>
      </c>
      <c r="BN7" s="371" t="s">
        <v>928</v>
      </c>
      <c r="BO7" s="371" t="s">
        <v>929</v>
      </c>
      <c r="BP7" s="371">
        <v>1</v>
      </c>
      <c r="BQ7" s="371">
        <v>0.5</v>
      </c>
      <c r="BR7" s="371">
        <v>0.5</v>
      </c>
      <c r="BS7" s="371">
        <v>323</v>
      </c>
      <c r="BT7" s="371">
        <v>1</v>
      </c>
      <c r="BU7" s="371">
        <f>BS7*BT7</f>
        <v>323</v>
      </c>
      <c r="BV7" s="362"/>
    </row>
    <row r="8" spans="1:76" ht="20.100000000000001" customHeight="1">
      <c r="A8" s="978" t="s">
        <v>907</v>
      </c>
      <c r="B8" s="382">
        <v>1</v>
      </c>
      <c r="C8" s="977" t="str">
        <f>VLOOKUP('作(5)'!F6,AB:AC,2,0)</f>
        <v>樱桃山纹木皮</v>
      </c>
      <c r="D8" s="977"/>
      <c r="E8" s="977" t="str">
        <f>VLOOKUP('作(5)'!F6,AB:AD,3,0)</f>
        <v>樱桃山纹木皮0.5mm</v>
      </c>
      <c r="F8" s="977"/>
      <c r="G8" s="383">
        <f>'作(5)'!P38</f>
        <v>0</v>
      </c>
      <c r="H8" s="382" t="s">
        <v>947</v>
      </c>
      <c r="I8" s="976"/>
      <c r="J8" s="382">
        <v>3</v>
      </c>
      <c r="K8" s="977"/>
      <c r="L8" s="977"/>
      <c r="M8" s="977" t="s">
        <v>948</v>
      </c>
      <c r="N8" s="977"/>
      <c r="O8" s="977"/>
      <c r="P8" s="389">
        <f>(0.024*P6*2)/0.6+(0.056*P7*2)/0.6</f>
        <v>0</v>
      </c>
      <c r="Q8" s="388" t="s">
        <v>947</v>
      </c>
      <c r="AA8" s="374" t="s">
        <v>918</v>
      </c>
      <c r="AB8" s="374" t="s">
        <v>875</v>
      </c>
      <c r="AC8" s="374" t="s">
        <v>949</v>
      </c>
      <c r="AD8" s="374" t="s">
        <v>950</v>
      </c>
      <c r="AE8" s="374" t="s">
        <v>951</v>
      </c>
      <c r="AF8" s="375" t="s">
        <v>922</v>
      </c>
      <c r="AG8" s="376" t="s">
        <v>923</v>
      </c>
      <c r="AH8" s="376" t="s">
        <v>924</v>
      </c>
      <c r="AI8" s="376" t="s">
        <v>952</v>
      </c>
      <c r="AJ8" s="366">
        <v>1</v>
      </c>
      <c r="AK8" s="366">
        <v>0.5</v>
      </c>
      <c r="AL8" s="366">
        <v>2</v>
      </c>
      <c r="AM8" s="366">
        <v>0.15</v>
      </c>
      <c r="AN8" s="366">
        <v>280</v>
      </c>
      <c r="AO8" s="366">
        <v>1</v>
      </c>
      <c r="AP8" s="366">
        <f t="shared" si="2"/>
        <v>280</v>
      </c>
      <c r="AQ8" s="367" t="s">
        <v>926</v>
      </c>
      <c r="AR8" s="367" t="s">
        <v>923</v>
      </c>
      <c r="AS8" s="367" t="s">
        <v>924</v>
      </c>
      <c r="AT8" s="367">
        <v>1</v>
      </c>
      <c r="AU8" s="367">
        <v>0.5</v>
      </c>
      <c r="AV8" s="367">
        <v>1.2</v>
      </c>
      <c r="AW8" s="367">
        <v>315</v>
      </c>
      <c r="AX8" s="367">
        <v>1</v>
      </c>
      <c r="AY8" s="367">
        <f t="shared" si="0"/>
        <v>315</v>
      </c>
      <c r="AZ8" s="369" t="s">
        <v>927</v>
      </c>
      <c r="BA8" s="369" t="s">
        <v>928</v>
      </c>
      <c r="BB8" s="369" t="s">
        <v>929</v>
      </c>
      <c r="BC8" s="369">
        <v>1</v>
      </c>
      <c r="BD8" s="369">
        <v>0.5</v>
      </c>
      <c r="BE8" s="369">
        <v>0.8</v>
      </c>
      <c r="BF8" s="369">
        <v>238</v>
      </c>
      <c r="BG8" s="369">
        <v>2</v>
      </c>
      <c r="BH8" s="369">
        <f t="shared" si="1"/>
        <v>476</v>
      </c>
      <c r="BI8" s="370" t="s">
        <v>930</v>
      </c>
      <c r="BJ8" s="370">
        <v>35</v>
      </c>
      <c r="BK8" s="370">
        <v>2</v>
      </c>
      <c r="BL8" s="370">
        <f t="shared" si="3"/>
        <v>70</v>
      </c>
      <c r="BM8" s="371"/>
      <c r="BN8" s="371"/>
      <c r="BO8" s="371"/>
      <c r="BP8" s="371"/>
      <c r="BQ8" s="371"/>
      <c r="BR8" s="371"/>
      <c r="BS8" s="371"/>
      <c r="BT8" s="371"/>
      <c r="BU8" s="371"/>
      <c r="BV8" s="362"/>
    </row>
    <row r="9" spans="1:76" ht="20.100000000000001" customHeight="1">
      <c r="A9" s="979"/>
      <c r="B9" s="382"/>
      <c r="C9" s="977"/>
      <c r="D9" s="977"/>
      <c r="E9" s="977"/>
      <c r="F9" s="977"/>
      <c r="G9" s="383"/>
      <c r="H9" s="382"/>
      <c r="I9" s="976" t="s">
        <v>953</v>
      </c>
      <c r="J9" s="382">
        <v>4</v>
      </c>
      <c r="K9" s="977" t="s">
        <v>450</v>
      </c>
      <c r="L9" s="977"/>
      <c r="M9" s="977" t="s">
        <v>954</v>
      </c>
      <c r="N9" s="977"/>
      <c r="O9" s="977"/>
      <c r="P9" s="389">
        <f>P6*4.1+P7*10.5</f>
        <v>0</v>
      </c>
      <c r="Q9" s="388" t="s">
        <v>26</v>
      </c>
      <c r="AA9" s="374" t="s">
        <v>918</v>
      </c>
      <c r="AB9" s="374" t="s">
        <v>881</v>
      </c>
      <c r="AC9" s="374" t="s">
        <v>955</v>
      </c>
      <c r="AD9" s="374" t="s">
        <v>956</v>
      </c>
      <c r="AE9" s="374" t="s">
        <v>957</v>
      </c>
      <c r="AF9" s="375" t="s">
        <v>958</v>
      </c>
      <c r="AG9" s="376" t="s">
        <v>959</v>
      </c>
      <c r="AH9" s="376" t="s">
        <v>960</v>
      </c>
      <c r="AI9" s="376" t="s">
        <v>961</v>
      </c>
      <c r="AJ9" s="366">
        <v>1</v>
      </c>
      <c r="AK9" s="366">
        <v>0.5</v>
      </c>
      <c r="AL9" s="366">
        <v>2</v>
      </c>
      <c r="AM9" s="366">
        <v>0.15</v>
      </c>
      <c r="AN9" s="366">
        <v>280</v>
      </c>
      <c r="AO9" s="366">
        <v>1</v>
      </c>
      <c r="AP9" s="366">
        <f t="shared" si="2"/>
        <v>280</v>
      </c>
      <c r="AQ9" s="367" t="s">
        <v>962</v>
      </c>
      <c r="AR9" s="367" t="s">
        <v>959</v>
      </c>
      <c r="AS9" s="367" t="s">
        <v>960</v>
      </c>
      <c r="AT9" s="367">
        <v>1</v>
      </c>
      <c r="AU9" s="367">
        <v>0.5</v>
      </c>
      <c r="AV9" s="367">
        <v>1.2</v>
      </c>
      <c r="AW9" s="367">
        <v>315</v>
      </c>
      <c r="AX9" s="367">
        <v>1</v>
      </c>
      <c r="AY9" s="367">
        <f t="shared" si="0"/>
        <v>315</v>
      </c>
      <c r="AZ9" s="369" t="s">
        <v>963</v>
      </c>
      <c r="BA9" s="369" t="s">
        <v>964</v>
      </c>
      <c r="BB9" s="369" t="s">
        <v>965</v>
      </c>
      <c r="BC9" s="369">
        <v>1</v>
      </c>
      <c r="BD9" s="369">
        <v>0.5</v>
      </c>
      <c r="BE9" s="369">
        <v>0.5</v>
      </c>
      <c r="BF9" s="369">
        <v>285</v>
      </c>
      <c r="BG9" s="369">
        <v>3</v>
      </c>
      <c r="BH9" s="369">
        <f t="shared" si="1"/>
        <v>855</v>
      </c>
      <c r="BI9" s="370" t="s">
        <v>966</v>
      </c>
      <c r="BJ9" s="370">
        <v>35</v>
      </c>
      <c r="BK9" s="370">
        <v>4</v>
      </c>
      <c r="BL9" s="370">
        <f t="shared" si="3"/>
        <v>140</v>
      </c>
      <c r="BM9" s="371" t="s">
        <v>963</v>
      </c>
      <c r="BN9" s="371" t="s">
        <v>964</v>
      </c>
      <c r="BO9" s="371" t="s">
        <v>965</v>
      </c>
      <c r="BP9" s="371">
        <v>1</v>
      </c>
      <c r="BQ9" s="371">
        <v>0.5</v>
      </c>
      <c r="BR9" s="371">
        <v>0.5</v>
      </c>
      <c r="BS9" s="371">
        <v>323</v>
      </c>
      <c r="BT9" s="371">
        <v>1</v>
      </c>
      <c r="BU9" s="371">
        <f>BS9*BT9</f>
        <v>323</v>
      </c>
      <c r="BV9" s="362"/>
    </row>
    <row r="10" spans="1:76" ht="20.100000000000001" customHeight="1">
      <c r="A10" s="979" t="s">
        <v>967</v>
      </c>
      <c r="B10" s="382">
        <v>1</v>
      </c>
      <c r="C10" s="977" t="s">
        <v>967</v>
      </c>
      <c r="D10" s="977"/>
      <c r="E10" s="977" t="s">
        <v>968</v>
      </c>
      <c r="F10" s="977"/>
      <c r="G10" s="383"/>
      <c r="H10" s="382" t="s">
        <v>969</v>
      </c>
      <c r="I10" s="976"/>
      <c r="J10" s="382">
        <v>5</v>
      </c>
      <c r="K10" s="977" t="s">
        <v>970</v>
      </c>
      <c r="L10" s="977"/>
      <c r="M10" s="977" t="s">
        <v>971</v>
      </c>
      <c r="N10" s="977"/>
      <c r="O10" s="977"/>
      <c r="P10" s="389"/>
      <c r="Q10" s="388" t="s">
        <v>972</v>
      </c>
    </row>
    <row r="11" spans="1:76" ht="20.100000000000001" customHeight="1">
      <c r="A11" s="980"/>
      <c r="B11" s="382">
        <v>2</v>
      </c>
      <c r="C11" s="977" t="s">
        <v>973</v>
      </c>
      <c r="D11" s="977"/>
      <c r="E11" s="977"/>
      <c r="F11" s="977"/>
      <c r="G11" s="383"/>
      <c r="H11" s="382" t="s">
        <v>974</v>
      </c>
      <c r="I11" s="976"/>
      <c r="J11" s="382">
        <v>6</v>
      </c>
      <c r="K11" s="977" t="s">
        <v>975</v>
      </c>
      <c r="L11" s="977"/>
      <c r="M11" s="977" t="s">
        <v>976</v>
      </c>
      <c r="N11" s="977"/>
      <c r="O11" s="977"/>
      <c r="P11" s="389">
        <f>G8*120</f>
        <v>0</v>
      </c>
      <c r="Q11" s="388" t="s">
        <v>972</v>
      </c>
    </row>
    <row r="12" spans="1:76" ht="20.100000000000001" customHeight="1">
      <c r="A12" s="978" t="s">
        <v>977</v>
      </c>
      <c r="B12" s="382">
        <v>1</v>
      </c>
      <c r="C12" s="994" t="s">
        <v>978</v>
      </c>
      <c r="D12" s="995"/>
      <c r="E12" s="1000" t="s">
        <v>979</v>
      </c>
      <c r="F12" s="1000"/>
      <c r="G12" s="390">
        <f>30*$V$32/1000</f>
        <v>0</v>
      </c>
      <c r="H12" s="391" t="s">
        <v>980</v>
      </c>
      <c r="I12" s="392"/>
      <c r="J12" s="382"/>
      <c r="K12" s="382"/>
      <c r="L12" s="382"/>
      <c r="M12" s="382"/>
      <c r="N12" s="382"/>
      <c r="O12" s="382"/>
      <c r="P12" s="389"/>
      <c r="Q12" s="388"/>
    </row>
    <row r="13" spans="1:76" ht="20.100000000000001" customHeight="1">
      <c r="A13" s="979"/>
      <c r="B13" s="382">
        <v>2</v>
      </c>
      <c r="C13" s="996"/>
      <c r="D13" s="997"/>
      <c r="E13" s="1000" t="s">
        <v>981</v>
      </c>
      <c r="F13" s="1000"/>
      <c r="G13" s="390">
        <f>25*$V$32/1000</f>
        <v>0</v>
      </c>
      <c r="H13" s="391" t="s">
        <v>980</v>
      </c>
      <c r="I13" s="392"/>
      <c r="J13" s="382"/>
      <c r="K13" s="382"/>
      <c r="L13" s="382"/>
      <c r="M13" s="382"/>
      <c r="N13" s="382"/>
      <c r="O13" s="382"/>
      <c r="P13" s="389"/>
      <c r="Q13" s="388"/>
    </row>
    <row r="14" spans="1:76" ht="20.100000000000001" customHeight="1">
      <c r="A14" s="979"/>
      <c r="B14" s="382">
        <v>3</v>
      </c>
      <c r="C14" s="998"/>
      <c r="D14" s="999"/>
      <c r="E14" s="1000" t="s">
        <v>982</v>
      </c>
      <c r="F14" s="1000"/>
      <c r="G14" s="390">
        <f>35*$V$32/1000</f>
        <v>0</v>
      </c>
      <c r="H14" s="391" t="s">
        <v>980</v>
      </c>
      <c r="I14" s="990"/>
      <c r="J14" s="382"/>
      <c r="K14" s="1010"/>
      <c r="L14" s="1011"/>
      <c r="M14" s="1010"/>
      <c r="N14" s="1027"/>
      <c r="O14" s="1011"/>
      <c r="P14" s="389"/>
      <c r="Q14" s="388"/>
      <c r="T14" s="981" t="s">
        <v>983</v>
      </c>
      <c r="U14" s="982"/>
      <c r="V14" s="982"/>
      <c r="W14" s="982"/>
      <c r="X14" s="982"/>
      <c r="Y14" s="983"/>
    </row>
    <row r="15" spans="1:76" ht="20.100000000000001" customHeight="1">
      <c r="A15" s="979"/>
      <c r="B15" s="382">
        <v>4</v>
      </c>
      <c r="C15" s="984" t="s">
        <v>984</v>
      </c>
      <c r="D15" s="985"/>
      <c r="E15" s="977" t="str">
        <f>W15</f>
        <v>UA1832</v>
      </c>
      <c r="F15" s="977"/>
      <c r="G15" s="383">
        <f>Y15</f>
        <v>0</v>
      </c>
      <c r="H15" s="393" t="s">
        <v>980</v>
      </c>
      <c r="I15" s="990"/>
      <c r="J15" s="382"/>
      <c r="K15" s="990"/>
      <c r="L15" s="990"/>
      <c r="M15" s="977"/>
      <c r="N15" s="977"/>
      <c r="O15" s="977"/>
      <c r="P15" s="389"/>
      <c r="Q15" s="388"/>
      <c r="T15" s="991" t="s">
        <v>985</v>
      </c>
      <c r="U15" s="394">
        <v>50</v>
      </c>
      <c r="V15" s="991">
        <f>'作(5)'!L39</f>
        <v>0</v>
      </c>
      <c r="W15" s="395" t="s">
        <v>986</v>
      </c>
      <c r="X15" s="395">
        <f>VLOOKUP('作(5)'!F6,AB:BC,28,0)</f>
        <v>1</v>
      </c>
      <c r="Y15" s="396">
        <f>U15*$V$15*X15/1000</f>
        <v>0</v>
      </c>
    </row>
    <row r="16" spans="1:76" ht="20.100000000000001" customHeight="1">
      <c r="A16" s="979"/>
      <c r="B16" s="382">
        <v>5</v>
      </c>
      <c r="C16" s="986"/>
      <c r="D16" s="987"/>
      <c r="E16" s="977" t="str">
        <f>W16</f>
        <v>UA4032</v>
      </c>
      <c r="F16" s="977"/>
      <c r="G16" s="383">
        <f>Y16</f>
        <v>0</v>
      </c>
      <c r="H16" s="393" t="s">
        <v>980</v>
      </c>
      <c r="I16" s="990"/>
      <c r="J16" s="382"/>
      <c r="K16" s="1001" t="s">
        <v>987</v>
      </c>
      <c r="L16" s="1002"/>
      <c r="M16" s="1002"/>
      <c r="N16" s="1002"/>
      <c r="O16" s="1002"/>
      <c r="P16" s="1003"/>
      <c r="Q16" s="388"/>
      <c r="T16" s="992"/>
      <c r="U16" s="394">
        <v>80</v>
      </c>
      <c r="V16" s="992"/>
      <c r="W16" s="395" t="s">
        <v>988</v>
      </c>
      <c r="X16" s="395">
        <v>1</v>
      </c>
      <c r="Y16" s="396">
        <f>U16*$V$15*X16/1000</f>
        <v>0</v>
      </c>
    </row>
    <row r="17" spans="1:25" ht="20.100000000000001" customHeight="1">
      <c r="A17" s="979"/>
      <c r="B17" s="382">
        <v>6</v>
      </c>
      <c r="C17" s="986"/>
      <c r="D17" s="987"/>
      <c r="E17" s="977"/>
      <c r="F17" s="977"/>
      <c r="G17" s="383"/>
      <c r="H17" s="393"/>
      <c r="I17" s="990"/>
      <c r="J17" s="382"/>
      <c r="K17" s="1004"/>
      <c r="L17" s="1005"/>
      <c r="M17" s="1005"/>
      <c r="N17" s="1005"/>
      <c r="O17" s="1005"/>
      <c r="P17" s="1006"/>
      <c r="Q17" s="388"/>
      <c r="T17" s="993"/>
      <c r="U17" s="394"/>
      <c r="V17" s="993"/>
      <c r="W17" s="395"/>
      <c r="X17" s="395"/>
      <c r="Y17" s="396"/>
    </row>
    <row r="18" spans="1:25" ht="20.100000000000001" customHeight="1">
      <c r="A18" s="979"/>
      <c r="B18" s="382">
        <v>7</v>
      </c>
      <c r="C18" s="988"/>
      <c r="D18" s="989"/>
      <c r="E18" s="1010"/>
      <c r="F18" s="1011"/>
      <c r="G18" s="383"/>
      <c r="H18" s="393"/>
      <c r="I18" s="990"/>
      <c r="J18" s="382"/>
      <c r="K18" s="1004"/>
      <c r="L18" s="1005"/>
      <c r="M18" s="1005"/>
      <c r="N18" s="1005"/>
      <c r="O18" s="1005"/>
      <c r="P18" s="1006"/>
      <c r="Q18" s="388"/>
      <c r="T18" s="397"/>
      <c r="U18" s="397"/>
      <c r="V18" s="397"/>
      <c r="W18" s="398"/>
      <c r="X18" s="399"/>
      <c r="Y18" s="400"/>
    </row>
    <row r="19" spans="1:25" ht="20.100000000000001" customHeight="1">
      <c r="A19" s="979"/>
      <c r="B19" s="382">
        <v>8</v>
      </c>
      <c r="C19" s="984" t="s">
        <v>989</v>
      </c>
      <c r="D19" s="985"/>
      <c r="E19" s="977" t="str">
        <f>+IF(OR('作(5)'!F6='料单 (5)'!U4,'作(5)'!F6='料单 (5)'!U5,'作(5)'!F6='料单 (5)'!U6),"",'料单 (5)'!W19)</f>
        <v>主剂PD3200</v>
      </c>
      <c r="F19" s="977"/>
      <c r="G19" s="383">
        <f>IF(E19="","",Y19)</f>
        <v>0</v>
      </c>
      <c r="H19" s="393" t="str">
        <f>IF(E19="","","千克")</f>
        <v>千克</v>
      </c>
      <c r="I19" s="990"/>
      <c r="J19" s="382"/>
      <c r="K19" s="1004"/>
      <c r="L19" s="1005"/>
      <c r="M19" s="1005"/>
      <c r="N19" s="1005"/>
      <c r="O19" s="1005"/>
      <c r="P19" s="1006"/>
      <c r="Q19" s="388"/>
      <c r="T19" s="991" t="str">
        <f>C19</f>
        <v>PU清底（手工喷涂）</v>
      </c>
      <c r="U19" s="991">
        <f>VLOOKUP('作(5)'!F6,AB:BU,46,0)</f>
        <v>323</v>
      </c>
      <c r="V19" s="991">
        <f>'作(5)'!O38</f>
        <v>0</v>
      </c>
      <c r="W19" s="395" t="str">
        <f>VLOOKUP('作(5)'!F6,AB:BM,38,0)</f>
        <v>主剂PD3200</v>
      </c>
      <c r="X19" s="395">
        <f>VLOOKUP('作(5)'!F6,AB:BP,41,0)</f>
        <v>1</v>
      </c>
      <c r="Y19" s="396">
        <f>V$19*(U$19/(X$19+X$20+X$21))*X19/1000</f>
        <v>0</v>
      </c>
    </row>
    <row r="20" spans="1:25" ht="20.100000000000001" customHeight="1">
      <c r="A20" s="979"/>
      <c r="B20" s="382">
        <v>9</v>
      </c>
      <c r="C20" s="986"/>
      <c r="D20" s="987"/>
      <c r="E20" s="977" t="str">
        <f>+IF(OR('作(5)'!F6='料单 (5)'!U4,'作(5)'!F6='料单 (5)'!U5,'作(5)'!F6='料单 (5)'!U6),"",'料单 (5)'!W20)</f>
        <v>固化剂PR66</v>
      </c>
      <c r="F20" s="977"/>
      <c r="G20" s="383">
        <f>IF(E20="","",Y20)</f>
        <v>0</v>
      </c>
      <c r="H20" s="393" t="str">
        <f>IF(E20="","","千克")</f>
        <v>千克</v>
      </c>
      <c r="I20" s="990"/>
      <c r="J20" s="382"/>
      <c r="K20" s="1004"/>
      <c r="L20" s="1005"/>
      <c r="M20" s="1005"/>
      <c r="N20" s="1005"/>
      <c r="O20" s="1005"/>
      <c r="P20" s="1006"/>
      <c r="Q20" s="388"/>
      <c r="T20" s="992"/>
      <c r="U20" s="992"/>
      <c r="V20" s="992"/>
      <c r="W20" s="395" t="str">
        <f>VLOOKUP('作(5)'!F6,AB:BN,39,0)</f>
        <v>固化剂PR66</v>
      </c>
      <c r="X20" s="395">
        <f>VLOOKUP('作(5)'!F6,AB:BQ,42,0)</f>
        <v>0.5</v>
      </c>
      <c r="Y20" s="396">
        <f>V$19*(U$19/(X$19+X$20+X$21))*X20/1000</f>
        <v>0</v>
      </c>
    </row>
    <row r="21" spans="1:25" ht="20.100000000000001" customHeight="1">
      <c r="A21" s="979"/>
      <c r="B21" s="382">
        <v>10</v>
      </c>
      <c r="C21" s="986"/>
      <c r="D21" s="987"/>
      <c r="E21" s="977" t="str">
        <f>+IF(OR('作(5)'!F6='料单 (5)'!U4,'作(5)'!F6='料单 (5)'!U5,'作(5)'!F6='料单 (5)'!U6),"",'料单 (5)'!W21)</f>
        <v>稀料PX705/PX707</v>
      </c>
      <c r="F21" s="977"/>
      <c r="G21" s="383">
        <f>IF(E21="","",IF(E22="",Y21,Y21/1.3*1))</f>
        <v>0</v>
      </c>
      <c r="H21" s="393" t="str">
        <f>IF(E21="","","千克")</f>
        <v>千克</v>
      </c>
      <c r="I21" s="990"/>
      <c r="J21" s="382"/>
      <c r="K21" s="1004"/>
      <c r="L21" s="1005"/>
      <c r="M21" s="1005"/>
      <c r="N21" s="1005"/>
      <c r="O21" s="1005"/>
      <c r="P21" s="1006"/>
      <c r="Q21" s="388"/>
      <c r="T21" s="993"/>
      <c r="U21" s="993"/>
      <c r="V21" s="993"/>
      <c r="W21" s="395" t="str">
        <f>VLOOKUP('作(5)'!F6,AB:BO,40,0)</f>
        <v>稀料PX705/PX707</v>
      </c>
      <c r="X21" s="395">
        <f>VLOOKUP('作(5)'!F6,AB:BR,43,0)</f>
        <v>0.5</v>
      </c>
      <c r="Y21" s="396">
        <f>V$19*(U$19/(X$19+X$20+X$21))*X21/1000</f>
        <v>0</v>
      </c>
    </row>
    <row r="22" spans="1:25" ht="20.100000000000001" customHeight="1">
      <c r="A22" s="979"/>
      <c r="B22" s="382">
        <v>11</v>
      </c>
      <c r="C22" s="988"/>
      <c r="D22" s="989"/>
      <c r="E22" s="977" t="str">
        <f>+IF(OR('作(5)'!F6='料单 (5)'!U4,'作(5)'!F6='料单 (5)'!U5,'作(5)'!F6='料单 (5)'!U6),"",'料单 (5)'!W22)</f>
        <v>慢干水PZ807</v>
      </c>
      <c r="F22" s="977"/>
      <c r="G22" s="383">
        <f>IF(E22="","",G21*0.3)</f>
        <v>0</v>
      </c>
      <c r="H22" s="393" t="str">
        <f>IF(E22="","","千克")</f>
        <v>千克</v>
      </c>
      <c r="I22" s="990"/>
      <c r="J22" s="382"/>
      <c r="K22" s="1004"/>
      <c r="L22" s="1005"/>
      <c r="M22" s="1005"/>
      <c r="N22" s="1005"/>
      <c r="O22" s="1005"/>
      <c r="P22" s="1006"/>
      <c r="Q22" s="388"/>
      <c r="T22" s="401"/>
      <c r="U22" s="401"/>
      <c r="V22" s="401"/>
      <c r="W22" s="395" t="str">
        <f>IF($S$1=$T$2,"慢干水PZ807","")</f>
        <v>慢干水PZ807</v>
      </c>
      <c r="X22" s="395"/>
      <c r="Y22" s="396">
        <f>IF(W22="","",Y21*0.34)</f>
        <v>0</v>
      </c>
    </row>
    <row r="23" spans="1:25" ht="20.100000000000001" customHeight="1">
      <c r="A23" s="979"/>
      <c r="B23" s="382">
        <v>12</v>
      </c>
      <c r="C23" s="984" t="s">
        <v>990</v>
      </c>
      <c r="D23" s="985"/>
      <c r="E23" s="977" t="str">
        <f>W23</f>
        <v>主剂GT2024</v>
      </c>
      <c r="F23" s="977"/>
      <c r="G23" s="383">
        <f>Y23</f>
        <v>0</v>
      </c>
      <c r="H23" s="393" t="s">
        <v>980</v>
      </c>
      <c r="I23" s="990"/>
      <c r="J23" s="382"/>
      <c r="K23" s="1004"/>
      <c r="L23" s="1005"/>
      <c r="M23" s="1005"/>
      <c r="N23" s="1005"/>
      <c r="O23" s="1005"/>
      <c r="P23" s="1006"/>
      <c r="Q23" s="388"/>
      <c r="T23" s="991" t="str">
        <f>C23</f>
        <v>修色 面漆</v>
      </c>
      <c r="U23" s="991">
        <f>VLOOKUP('作(5)'!F6,AB:AP,15,0)</f>
        <v>280</v>
      </c>
      <c r="V23" s="991">
        <f>+'作(5)'!K39</f>
        <v>0</v>
      </c>
      <c r="W23" s="395" t="str">
        <f>VLOOKUP('作(5)'!F6,AB:AF,5,0)</f>
        <v>主剂GT2024</v>
      </c>
      <c r="X23" s="395">
        <f>VLOOKUP('作(5)'!F6,AB:AJ,9,0)</f>
        <v>1</v>
      </c>
      <c r="Y23" s="396">
        <f>V$23*(U$23/(X$23+X$24+X$25+X26))*X23/1000</f>
        <v>0</v>
      </c>
    </row>
    <row r="24" spans="1:25" ht="20.100000000000001" customHeight="1">
      <c r="A24" s="979"/>
      <c r="B24" s="382">
        <v>13</v>
      </c>
      <c r="C24" s="986"/>
      <c r="D24" s="987"/>
      <c r="E24" s="977" t="str">
        <f>W24</f>
        <v>固化剂PR50</v>
      </c>
      <c r="F24" s="977"/>
      <c r="G24" s="383">
        <f>Y24</f>
        <v>0</v>
      </c>
      <c r="H24" s="393" t="s">
        <v>980</v>
      </c>
      <c r="I24" s="990"/>
      <c r="J24" s="382"/>
      <c r="K24" s="1007"/>
      <c r="L24" s="1008"/>
      <c r="M24" s="1008"/>
      <c r="N24" s="1008"/>
      <c r="O24" s="1008"/>
      <c r="P24" s="1009"/>
      <c r="Q24" s="402"/>
      <c r="T24" s="992"/>
      <c r="U24" s="992"/>
      <c r="V24" s="992"/>
      <c r="W24" s="395" t="str">
        <f>VLOOKUP('作(5)'!F6,AB:AG,6,0)</f>
        <v>固化剂PR50</v>
      </c>
      <c r="X24" s="395">
        <f>VLOOKUP('作(5)'!F6,AB:AK,10,0)</f>
        <v>0.5</v>
      </c>
      <c r="Y24" s="396">
        <f>V$23*(U$23/(X$23+X$24+X$25+X26))*X24/1000</f>
        <v>0</v>
      </c>
    </row>
    <row r="25" spans="1:25" ht="20.100000000000001" customHeight="1">
      <c r="A25" s="979"/>
      <c r="B25" s="382">
        <v>14</v>
      </c>
      <c r="C25" s="986"/>
      <c r="D25" s="987"/>
      <c r="E25" s="977" t="str">
        <f>W25</f>
        <v>稀料PX903/PX904</v>
      </c>
      <c r="F25" s="977"/>
      <c r="G25" s="383">
        <f>IF(E27="",Y25,Y25/1.3*1)</f>
        <v>0</v>
      </c>
      <c r="H25" s="393" t="s">
        <v>980</v>
      </c>
      <c r="I25" s="990"/>
      <c r="J25" s="382"/>
      <c r="K25" s="1016"/>
      <c r="L25" s="1017"/>
      <c r="M25" s="977"/>
      <c r="N25" s="977"/>
      <c r="O25" s="977"/>
      <c r="P25" s="389"/>
      <c r="Q25" s="388"/>
      <c r="T25" s="992"/>
      <c r="U25" s="992"/>
      <c r="V25" s="992"/>
      <c r="W25" s="395" t="str">
        <f>VLOOKUP('作(5)'!F6,AB:AH,7,0)</f>
        <v>稀料PX903/PX904</v>
      </c>
      <c r="X25" s="395">
        <f>VLOOKUP('作(5)'!F6,AB:AL,11,0)</f>
        <v>2</v>
      </c>
      <c r="Y25" s="396">
        <f>V$23*(U$23/(X$23+X$24+X$25+X26))*X25/1000</f>
        <v>0</v>
      </c>
    </row>
    <row r="26" spans="1:25" ht="20.100000000000001" customHeight="1">
      <c r="A26" s="979"/>
      <c r="B26" s="382">
        <v>15</v>
      </c>
      <c r="C26" s="986"/>
      <c r="D26" s="987"/>
      <c r="E26" s="1010" t="str">
        <f>W26</f>
        <v>PBJ3992</v>
      </c>
      <c r="F26" s="1011"/>
      <c r="G26" s="383">
        <f>+Y26</f>
        <v>0</v>
      </c>
      <c r="H26" s="393" t="s">
        <v>980</v>
      </c>
      <c r="I26" s="990"/>
      <c r="J26" s="382"/>
      <c r="K26" s="403"/>
      <c r="L26" s="392"/>
      <c r="M26" s="977"/>
      <c r="N26" s="977"/>
      <c r="O26" s="977"/>
      <c r="P26" s="389"/>
      <c r="Q26" s="388"/>
      <c r="T26" s="992"/>
      <c r="U26" s="993"/>
      <c r="V26" s="401"/>
      <c r="W26" s="395" t="str">
        <f>VLOOKUP('作(5)'!F6,AB:AI,8,0)</f>
        <v>PBJ3992</v>
      </c>
      <c r="X26" s="395">
        <f>VLOOKUP('作(5)'!F6,AB:AM,12,0)</f>
        <v>0.15</v>
      </c>
      <c r="Y26" s="396">
        <f>V$23*(U$23/(X$23+X$24+X$25+X26))*X26/1000</f>
        <v>0</v>
      </c>
    </row>
    <row r="27" spans="1:25" ht="20.100000000000001" customHeight="1">
      <c r="A27" s="979"/>
      <c r="B27" s="382">
        <v>16</v>
      </c>
      <c r="C27" s="988"/>
      <c r="D27" s="989"/>
      <c r="E27" s="1010" t="str">
        <f>IF($S$1=$T$2,"慢干水PZ807","")</f>
        <v>慢干水PZ807</v>
      </c>
      <c r="F27" s="1011"/>
      <c r="G27" s="383">
        <f>IF(E27="","",G25*0.3)</f>
        <v>0</v>
      </c>
      <c r="H27" s="393" t="str">
        <f>IF(E27="","","千克")</f>
        <v>千克</v>
      </c>
      <c r="I27" s="990"/>
      <c r="J27" s="382"/>
      <c r="K27" s="990"/>
      <c r="L27" s="990"/>
      <c r="M27" s="977"/>
      <c r="N27" s="977"/>
      <c r="O27" s="977"/>
      <c r="P27" s="389"/>
      <c r="Q27" s="388"/>
      <c r="T27" s="993"/>
      <c r="U27" s="404"/>
      <c r="V27" s="404"/>
      <c r="W27" s="395" t="s">
        <v>991</v>
      </c>
      <c r="X27" s="395"/>
      <c r="Y27" s="396"/>
    </row>
    <row r="28" spans="1:25" ht="20.100000000000001" customHeight="1">
      <c r="A28" s="979"/>
      <c r="B28" s="382">
        <v>17</v>
      </c>
      <c r="C28" s="990" t="s">
        <v>992</v>
      </c>
      <c r="D28" s="990"/>
      <c r="E28" s="977" t="str">
        <f>W28</f>
        <v>主剂P86003</v>
      </c>
      <c r="F28" s="977"/>
      <c r="G28" s="383">
        <f>Y28</f>
        <v>0</v>
      </c>
      <c r="H28" s="382" t="s">
        <v>980</v>
      </c>
      <c r="I28" s="978" t="s">
        <v>977</v>
      </c>
      <c r="J28" s="382">
        <v>1</v>
      </c>
      <c r="K28" s="990" t="str">
        <f>+IF(OR('作(5)'!F6='料单 (5)'!U4,'作(5)'!F6='料单 (5)'!U5),"UV辊面","")</f>
        <v/>
      </c>
      <c r="L28" s="990"/>
      <c r="M28" s="977" t="str">
        <f>+IF(OR('作(5)'!F6='料单 (5)'!U4,'作(5)'!F6='料单 (5)'!U5),"主剂UA69225","")</f>
        <v/>
      </c>
      <c r="N28" s="977"/>
      <c r="O28" s="977"/>
      <c r="P28" s="389" t="str">
        <f>IF(M28="","",Y33)</f>
        <v/>
      </c>
      <c r="Q28" s="388" t="str">
        <f>IF(M28="","","千克")</f>
        <v/>
      </c>
      <c r="T28" s="1012" t="str">
        <f>C28</f>
        <v>PU面漆（手工喷涂）</v>
      </c>
      <c r="U28" s="1012">
        <f>VLOOKUP('作(5)'!F6,AB:AY,24,0)</f>
        <v>315</v>
      </c>
      <c r="V28" s="1012">
        <f>+'作(5)'!K39</f>
        <v>0</v>
      </c>
      <c r="W28" s="405" t="str">
        <f>VLOOKUP('作(5)'!F6,AB:AQ,16,0)</f>
        <v>主剂P86003</v>
      </c>
      <c r="X28" s="405">
        <f>VLOOKUP('作(5)'!F6,AB:AJ,9,0)</f>
        <v>1</v>
      </c>
      <c r="Y28" s="406">
        <f>V$28*(U$28/(X$28+X$29+X$30))*X28/1000</f>
        <v>0</v>
      </c>
    </row>
    <row r="29" spans="1:25" ht="20.100000000000001" customHeight="1">
      <c r="A29" s="979"/>
      <c r="B29" s="382">
        <v>18</v>
      </c>
      <c r="C29" s="990"/>
      <c r="D29" s="990"/>
      <c r="E29" s="977" t="str">
        <f>W29</f>
        <v>固化剂PR86</v>
      </c>
      <c r="F29" s="977"/>
      <c r="G29" s="383">
        <f>Y29</f>
        <v>0</v>
      </c>
      <c r="H29" s="382" t="s">
        <v>980</v>
      </c>
      <c r="I29" s="979"/>
      <c r="J29" s="382"/>
      <c r="K29" s="990"/>
      <c r="L29" s="990"/>
      <c r="M29" s="977"/>
      <c r="N29" s="977"/>
      <c r="O29" s="977"/>
      <c r="P29" s="389"/>
      <c r="Q29" s="388"/>
      <c r="T29" s="1013"/>
      <c r="U29" s="1013"/>
      <c r="V29" s="1013"/>
      <c r="W29" s="405" t="str">
        <f>VLOOKUP('作(5)'!F6,AB:AR,17,0)</f>
        <v>固化剂PR86</v>
      </c>
      <c r="X29" s="405">
        <f>VLOOKUP('作(5)'!F6,AB:AU,20,0)</f>
        <v>0.5</v>
      </c>
      <c r="Y29" s="406">
        <f>V$28*(U$28/(X$28+X$29+X$30))*X29/1000</f>
        <v>0</v>
      </c>
    </row>
    <row r="30" spans="1:25" ht="20.100000000000001" customHeight="1">
      <c r="A30" s="979"/>
      <c r="B30" s="382">
        <v>19</v>
      </c>
      <c r="C30" s="990"/>
      <c r="D30" s="990"/>
      <c r="E30" s="977" t="str">
        <f>W30</f>
        <v>稀料PX903/PX904</v>
      </c>
      <c r="F30" s="977"/>
      <c r="G30" s="383">
        <f>IF(E31="",Y30,Y30/1.3*1)</f>
        <v>0</v>
      </c>
      <c r="H30" s="382" t="s">
        <v>980</v>
      </c>
      <c r="I30" s="979"/>
      <c r="J30" s="382"/>
      <c r="K30" s="977"/>
      <c r="L30" s="977"/>
      <c r="M30" s="977"/>
      <c r="N30" s="977"/>
      <c r="O30" s="977"/>
      <c r="P30" s="389"/>
      <c r="Q30" s="388"/>
      <c r="T30" s="1013"/>
      <c r="U30" s="1013"/>
      <c r="V30" s="1013"/>
      <c r="W30" s="405" t="str">
        <f>VLOOKUP('作(5)'!F6,AB:AS,18,0)</f>
        <v>稀料PX903/PX904</v>
      </c>
      <c r="X30" s="405">
        <f>VLOOKUP('作(5)'!F6,AB:AV,21,0)</f>
        <v>0.7</v>
      </c>
      <c r="Y30" s="406">
        <f>V$28*(U$28/(X$28+X$29+X$30))*X30/1000</f>
        <v>0</v>
      </c>
    </row>
    <row r="31" spans="1:25" ht="20.100000000000001" customHeight="1" thickBot="1">
      <c r="A31" s="1015"/>
      <c r="B31" s="382">
        <v>20</v>
      </c>
      <c r="C31" s="1026"/>
      <c r="D31" s="1026"/>
      <c r="E31" s="1022" t="str">
        <f>IF($S$1=$T$2,"慢干水PZ807","")</f>
        <v>慢干水PZ807</v>
      </c>
      <c r="F31" s="1023"/>
      <c r="G31" s="407">
        <f>IF(E31="","",G30*0.3)</f>
        <v>0</v>
      </c>
      <c r="H31" s="408" t="str">
        <f>H27</f>
        <v>千克</v>
      </c>
      <c r="I31" s="1015"/>
      <c r="J31" s="408"/>
      <c r="K31" s="1024"/>
      <c r="L31" s="1024"/>
      <c r="M31" s="1024"/>
      <c r="N31" s="1024"/>
      <c r="O31" s="1024"/>
      <c r="P31" s="407"/>
      <c r="Q31" s="409"/>
      <c r="T31" s="1014"/>
      <c r="U31" s="1014"/>
      <c r="V31" s="1014"/>
      <c r="W31" s="405" t="str">
        <f>E31</f>
        <v>慢干水PZ807</v>
      </c>
      <c r="X31" s="405"/>
      <c r="Y31" s="406">
        <f>Y30*0.3</f>
        <v>0</v>
      </c>
    </row>
    <row r="32" spans="1:25" ht="15" customHeight="1">
      <c r="A32" s="410"/>
      <c r="B32" s="410"/>
      <c r="C32" s="410"/>
      <c r="D32" s="410"/>
      <c r="E32" s="410"/>
      <c r="F32" s="410"/>
      <c r="G32" s="411"/>
      <c r="H32" s="410"/>
      <c r="I32" s="410"/>
      <c r="J32" s="410"/>
      <c r="K32" s="410"/>
      <c r="L32" s="410"/>
      <c r="M32" s="412"/>
      <c r="N32" s="412"/>
      <c r="O32" s="412"/>
      <c r="P32" s="413"/>
      <c r="Q32" s="412"/>
      <c r="T32" s="406" t="s">
        <v>993</v>
      </c>
      <c r="U32" s="405">
        <f>VLOOKUP('作(5)'!F6,AB:BL,37,0)</f>
        <v>140</v>
      </c>
      <c r="V32" s="405">
        <f>'作(5)'!O38</f>
        <v>0</v>
      </c>
      <c r="W32" s="405" t="str">
        <f>VLOOKUP('作(5)'!F6,AB:BI,34,0)</f>
        <v>主剂UA5002</v>
      </c>
      <c r="X32" s="406"/>
      <c r="Y32" s="406">
        <f>V32*U32/1000</f>
        <v>0</v>
      </c>
    </row>
    <row r="33" spans="1:25" ht="15" customHeight="1">
      <c r="A33" s="1025"/>
      <c r="B33" s="1025"/>
      <c r="C33" s="410"/>
      <c r="D33" s="1018" t="s">
        <v>994</v>
      </c>
      <c r="E33" s="1018"/>
      <c r="F33" s="1021" t="s">
        <v>1122</v>
      </c>
      <c r="G33" s="1021"/>
      <c r="H33" s="1021"/>
      <c r="I33" s="414"/>
      <c r="J33" s="415"/>
      <c r="K33" s="414"/>
      <c r="L33" s="416" t="s">
        <v>995</v>
      </c>
      <c r="M33" s="1021"/>
      <c r="N33" s="1021"/>
      <c r="O33" s="412"/>
      <c r="P33" s="417"/>
      <c r="Q33" s="412"/>
      <c r="T33" s="418" t="s">
        <v>996</v>
      </c>
      <c r="U33" s="419">
        <f>VLOOKUP('作(5)'!F6,AB:BX,49,0)</f>
        <v>0</v>
      </c>
      <c r="V33" s="420">
        <f>'作(5)'!O38</f>
        <v>0</v>
      </c>
      <c r="W33" s="419" t="s">
        <v>997</v>
      </c>
      <c r="X33" s="418"/>
      <c r="Y33" s="421">
        <f>V33*U33/1000</f>
        <v>0</v>
      </c>
    </row>
    <row r="34" spans="1:25" ht="15" customHeight="1">
      <c r="A34" s="422"/>
      <c r="B34" s="422"/>
      <c r="C34" s="410"/>
      <c r="D34" s="416"/>
      <c r="E34" s="416"/>
      <c r="F34" s="416"/>
      <c r="G34" s="423"/>
      <c r="H34" s="424"/>
      <c r="I34" s="414"/>
      <c r="J34" s="415"/>
      <c r="K34" s="414"/>
      <c r="L34" s="416"/>
      <c r="M34" s="425"/>
      <c r="N34" s="425"/>
      <c r="O34" s="412"/>
      <c r="P34" s="413"/>
      <c r="Q34" s="412"/>
    </row>
    <row r="35" spans="1:25" ht="15" customHeight="1">
      <c r="A35" s="422"/>
      <c r="B35" s="422"/>
      <c r="C35" s="410"/>
      <c r="D35" s="1018" t="s">
        <v>998</v>
      </c>
      <c r="E35" s="1018"/>
      <c r="F35" s="1019"/>
      <c r="G35" s="1019"/>
      <c r="H35" s="1019"/>
      <c r="I35" s="414"/>
      <c r="J35" s="415"/>
      <c r="K35" s="1020" t="s">
        <v>999</v>
      </c>
      <c r="L35" s="1020"/>
      <c r="M35" s="1021"/>
      <c r="N35" s="1021"/>
      <c r="O35" s="412"/>
      <c r="P35" s="413"/>
      <c r="Q35" s="412"/>
    </row>
    <row r="36" spans="1:25">
      <c r="A36" s="279"/>
      <c r="B36" s="279"/>
      <c r="C36" s="279"/>
      <c r="D36" s="279"/>
      <c r="E36" s="279"/>
      <c r="F36" s="279"/>
      <c r="G36" s="280"/>
      <c r="H36" s="279"/>
      <c r="I36" s="279"/>
      <c r="J36" s="279"/>
      <c r="K36" s="279"/>
      <c r="L36" s="279"/>
      <c r="M36" s="279"/>
      <c r="N36" s="279"/>
      <c r="O36" s="279"/>
      <c r="P36" s="280"/>
      <c r="Q36" s="279"/>
    </row>
  </sheetData>
  <mergeCells count="117">
    <mergeCell ref="A33:B33"/>
    <mergeCell ref="D33:E33"/>
    <mergeCell ref="F33:H33"/>
    <mergeCell ref="M33:N33"/>
    <mergeCell ref="A12:A31"/>
    <mergeCell ref="C28:D31"/>
    <mergeCell ref="C19:D22"/>
    <mergeCell ref="E27:F27"/>
    <mergeCell ref="K27:L27"/>
    <mergeCell ref="M27:O27"/>
    <mergeCell ref="K14:L14"/>
    <mergeCell ref="M14:O14"/>
    <mergeCell ref="E19:F19"/>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U28:U31"/>
    <mergeCell ref="V28:V31"/>
    <mergeCell ref="E29:F29"/>
    <mergeCell ref="K29:L29"/>
    <mergeCell ref="M29:O29"/>
    <mergeCell ref="E30:F30"/>
    <mergeCell ref="K30:L30"/>
    <mergeCell ref="E28:F28"/>
    <mergeCell ref="I28:I3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C5:D5"/>
    <mergeCell ref="E5:F5"/>
    <mergeCell ref="K5:L5"/>
    <mergeCell ref="M5:O5"/>
    <mergeCell ref="A6:A7"/>
    <mergeCell ref="C6:D6"/>
    <mergeCell ref="E6:F6"/>
    <mergeCell ref="I6:I8"/>
    <mergeCell ref="K6:L6"/>
    <mergeCell ref="C7:D7"/>
    <mergeCell ref="M8:O8"/>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s>
  <phoneticPr fontId="59"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35" customWidth="1"/>
    <col min="2" max="2" width="8.625" style="435" customWidth="1"/>
    <col min="3" max="3" width="4.625" style="435" customWidth="1"/>
    <col min="4" max="4" width="9.75" style="435" customWidth="1"/>
    <col min="5" max="5" width="10.875" style="435" customWidth="1"/>
    <col min="6" max="6" width="6" style="435" customWidth="1"/>
    <col min="7" max="7" width="5.625" style="435" customWidth="1"/>
    <col min="8" max="8" width="10.125" style="435" customWidth="1"/>
    <col min="9" max="9" width="15" style="435" customWidth="1"/>
    <col min="10" max="16384" width="9" style="435"/>
  </cols>
  <sheetData>
    <row r="1" spans="1:11">
      <c r="A1" s="434"/>
      <c r="B1" s="434"/>
      <c r="C1" s="434"/>
      <c r="D1" s="434"/>
      <c r="E1" s="434"/>
      <c r="F1" s="434"/>
    </row>
    <row r="2" spans="1:11">
      <c r="A2" s="436"/>
      <c r="B2" s="436"/>
      <c r="C2" s="436"/>
      <c r="D2" s="436"/>
      <c r="E2" s="434"/>
      <c r="F2" s="434"/>
      <c r="H2" s="1029" t="s">
        <v>1119</v>
      </c>
      <c r="I2" s="1029"/>
    </row>
    <row r="3" spans="1:11" ht="21">
      <c r="A3" s="1030" t="s">
        <v>1067</v>
      </c>
      <c r="B3" s="1031"/>
      <c r="C3" s="1031"/>
      <c r="D3" s="1031"/>
      <c r="E3" s="1031"/>
      <c r="F3" s="1031"/>
      <c r="G3" s="1031"/>
      <c r="H3" s="1031"/>
      <c r="I3" s="1031"/>
      <c r="K3" s="437" t="s">
        <v>1068</v>
      </c>
    </row>
    <row r="4" spans="1:11" ht="20.100000000000001" customHeight="1">
      <c r="A4" s="437" t="s">
        <v>1069</v>
      </c>
      <c r="B4" s="1032" t="s">
        <v>1070</v>
      </c>
      <c r="C4" s="1032"/>
      <c r="D4" s="1032"/>
      <c r="E4" s="438" t="s">
        <v>1071</v>
      </c>
      <c r="F4" s="1032" t="e">
        <f>#REF!</f>
        <v>#REF!</v>
      </c>
      <c r="G4" s="1032"/>
      <c r="H4" s="439" t="s">
        <v>1072</v>
      </c>
      <c r="I4" s="440" t="str">
        <f>SUM(E10:E33)&amp;"块"</f>
        <v>0块</v>
      </c>
    </row>
    <row r="5" spans="1:11" ht="20.100000000000001" customHeight="1">
      <c r="A5" s="435" t="s">
        <v>1073</v>
      </c>
      <c r="B5" s="1032" t="e">
        <f>#REF!</f>
        <v>#REF!</v>
      </c>
      <c r="C5" s="1033"/>
      <c r="D5" s="1033"/>
      <c r="E5" s="438" t="s">
        <v>1074</v>
      </c>
      <c r="F5" s="1034"/>
      <c r="G5" s="1034"/>
      <c r="H5" s="439" t="s">
        <v>1075</v>
      </c>
      <c r="I5" s="441"/>
    </row>
    <row r="6" spans="1:11" ht="20.100000000000001" customHeight="1">
      <c r="A6" s="442" t="s">
        <v>1076</v>
      </c>
      <c r="B6" s="1032" t="s">
        <v>1070</v>
      </c>
      <c r="C6" s="1032"/>
      <c r="D6" s="1032"/>
      <c r="E6" s="443" t="s">
        <v>1077</v>
      </c>
      <c r="F6" s="1035">
        <v>89251111</v>
      </c>
      <c r="G6" s="1035"/>
      <c r="H6" s="439" t="s">
        <v>1078</v>
      </c>
      <c r="I6" s="440">
        <v>89251111</v>
      </c>
    </row>
    <row r="7" spans="1:11" ht="20.100000000000001" customHeight="1">
      <c r="A7" s="444" t="s">
        <v>1079</v>
      </c>
      <c r="B7" s="1036"/>
      <c r="C7" s="1035"/>
      <c r="D7" s="1035"/>
      <c r="E7" s="443" t="s">
        <v>1080</v>
      </c>
      <c r="F7" s="1035">
        <v>80529723</v>
      </c>
      <c r="G7" s="1035"/>
      <c r="H7" s="439" t="s">
        <v>1081</v>
      </c>
      <c r="I7" s="445">
        <v>80529723</v>
      </c>
    </row>
    <row r="8" spans="1:11" ht="20.100000000000001" customHeight="1">
      <c r="A8" s="442" t="s">
        <v>1082</v>
      </c>
      <c r="B8" s="1036" t="s">
        <v>1083</v>
      </c>
      <c r="C8" s="1035"/>
      <c r="D8" s="1035"/>
      <c r="E8" s="1035"/>
      <c r="F8" s="1035"/>
      <c r="G8" s="1035"/>
      <c r="H8" s="444" t="s">
        <v>1084</v>
      </c>
      <c r="I8" s="440" t="s">
        <v>1085</v>
      </c>
    </row>
    <row r="9" spans="1:11" ht="20.100000000000001" customHeight="1">
      <c r="A9" s="446" t="s">
        <v>642</v>
      </c>
      <c r="B9" s="446" t="s">
        <v>461</v>
      </c>
      <c r="C9" s="446" t="s">
        <v>1086</v>
      </c>
      <c r="D9" s="446" t="s">
        <v>643</v>
      </c>
      <c r="E9" s="447" t="s">
        <v>644</v>
      </c>
      <c r="F9" s="1028" t="s">
        <v>1087</v>
      </c>
      <c r="G9" s="1028"/>
      <c r="H9" s="1028"/>
      <c r="I9" s="446" t="s">
        <v>809</v>
      </c>
    </row>
    <row r="10" spans="1:11" ht="20.100000000000001" customHeight="1">
      <c r="A10" s="448"/>
      <c r="B10" s="449"/>
      <c r="C10" s="446" t="s">
        <v>1086</v>
      </c>
      <c r="D10" s="449"/>
      <c r="E10" s="449"/>
      <c r="F10" s="1028"/>
      <c r="G10" s="1028"/>
      <c r="H10" s="1028"/>
      <c r="I10" s="446"/>
      <c r="J10" s="450">
        <f>B10*D10*E10/1000000</f>
        <v>0</v>
      </c>
    </row>
    <row r="11" spans="1:11" ht="20.100000000000001" customHeight="1">
      <c r="A11" s="448"/>
      <c r="B11" s="449"/>
      <c r="C11" s="446" t="s">
        <v>1086</v>
      </c>
      <c r="D11" s="449"/>
      <c r="E11" s="449"/>
      <c r="F11" s="1028"/>
      <c r="G11" s="1028"/>
      <c r="H11" s="1028"/>
      <c r="I11" s="446"/>
      <c r="J11" s="450">
        <f t="shared" ref="J11:J33" si="0">B11*D11*E11/1000000</f>
        <v>0</v>
      </c>
    </row>
    <row r="12" spans="1:11" ht="20.100000000000001" customHeight="1">
      <c r="A12" s="448"/>
      <c r="B12" s="449"/>
      <c r="C12" s="446" t="s">
        <v>1086</v>
      </c>
      <c r="D12" s="449"/>
      <c r="E12" s="449"/>
      <c r="F12" s="1028"/>
      <c r="G12" s="1028"/>
      <c r="H12" s="1028"/>
      <c r="I12" s="446"/>
      <c r="J12" s="450">
        <f t="shared" si="0"/>
        <v>0</v>
      </c>
    </row>
    <row r="13" spans="1:11" ht="20.100000000000001" customHeight="1">
      <c r="A13" s="448"/>
      <c r="B13" s="449"/>
      <c r="C13" s="446" t="s">
        <v>1086</v>
      </c>
      <c r="D13" s="449"/>
      <c r="E13" s="449"/>
      <c r="F13" s="1028"/>
      <c r="G13" s="1028"/>
      <c r="H13" s="1028"/>
      <c r="I13" s="446"/>
      <c r="J13" s="450">
        <f t="shared" si="0"/>
        <v>0</v>
      </c>
    </row>
    <row r="14" spans="1:11" ht="20.100000000000001" customHeight="1">
      <c r="A14" s="448"/>
      <c r="B14" s="451"/>
      <c r="C14" s="446" t="s">
        <v>1086</v>
      </c>
      <c r="D14" s="451"/>
      <c r="E14" s="449"/>
      <c r="F14" s="1028"/>
      <c r="G14" s="1028"/>
      <c r="H14" s="1028"/>
      <c r="I14" s="446"/>
      <c r="J14" s="450">
        <f t="shared" si="0"/>
        <v>0</v>
      </c>
    </row>
    <row r="15" spans="1:11" ht="20.100000000000001" customHeight="1">
      <c r="A15" s="448"/>
      <c r="B15" s="451"/>
      <c r="C15" s="446" t="s">
        <v>1086</v>
      </c>
      <c r="D15" s="451"/>
      <c r="E15" s="449"/>
      <c r="F15" s="1028"/>
      <c r="G15" s="1028"/>
      <c r="H15" s="1028"/>
      <c r="I15" s="446"/>
      <c r="J15" s="450">
        <f t="shared" si="0"/>
        <v>0</v>
      </c>
    </row>
    <row r="16" spans="1:11" ht="20.100000000000001" customHeight="1">
      <c r="A16" s="448"/>
      <c r="B16" s="451"/>
      <c r="C16" s="446" t="s">
        <v>1086</v>
      </c>
      <c r="D16" s="451"/>
      <c r="E16" s="449"/>
      <c r="F16" s="1028"/>
      <c r="G16" s="1028"/>
      <c r="H16" s="1028"/>
      <c r="I16" s="446"/>
      <c r="J16" s="450">
        <f t="shared" si="0"/>
        <v>0</v>
      </c>
    </row>
    <row r="17" spans="1:10" ht="20.100000000000001" customHeight="1">
      <c r="A17" s="448"/>
      <c r="B17" s="451"/>
      <c r="C17" s="446" t="s">
        <v>1086</v>
      </c>
      <c r="D17" s="451"/>
      <c r="E17" s="449"/>
      <c r="F17" s="1028"/>
      <c r="G17" s="1028"/>
      <c r="H17" s="1028"/>
      <c r="I17" s="446"/>
      <c r="J17" s="450">
        <f t="shared" si="0"/>
        <v>0</v>
      </c>
    </row>
    <row r="18" spans="1:10" ht="20.100000000000001" customHeight="1">
      <c r="A18" s="448"/>
      <c r="B18" s="451"/>
      <c r="C18" s="446" t="s">
        <v>1086</v>
      </c>
      <c r="D18" s="451"/>
      <c r="E18" s="449"/>
      <c r="F18" s="1028"/>
      <c r="G18" s="1028"/>
      <c r="H18" s="1028"/>
      <c r="I18" s="446"/>
      <c r="J18" s="450">
        <f t="shared" si="0"/>
        <v>0</v>
      </c>
    </row>
    <row r="19" spans="1:10" ht="20.100000000000001" customHeight="1">
      <c r="A19" s="448"/>
      <c r="B19" s="451"/>
      <c r="C19" s="446" t="s">
        <v>1086</v>
      </c>
      <c r="D19" s="451"/>
      <c r="E19" s="451"/>
      <c r="F19" s="1028"/>
      <c r="G19" s="1028"/>
      <c r="H19" s="1028"/>
      <c r="I19" s="446"/>
      <c r="J19" s="450">
        <f t="shared" si="0"/>
        <v>0</v>
      </c>
    </row>
    <row r="20" spans="1:10" ht="20.100000000000001" customHeight="1">
      <c r="A20" s="452"/>
      <c r="B20" s="451"/>
      <c r="C20" s="446" t="s">
        <v>1086</v>
      </c>
      <c r="D20" s="451"/>
      <c r="E20" s="449"/>
      <c r="F20" s="1028"/>
      <c r="G20" s="1028"/>
      <c r="H20" s="1028"/>
      <c r="I20" s="446"/>
      <c r="J20" s="450">
        <f t="shared" si="0"/>
        <v>0</v>
      </c>
    </row>
    <row r="21" spans="1:10" ht="20.100000000000001" customHeight="1">
      <c r="A21" s="452"/>
      <c r="B21" s="451"/>
      <c r="C21" s="446" t="s">
        <v>1086</v>
      </c>
      <c r="D21" s="451"/>
      <c r="E21" s="449"/>
      <c r="F21" s="1028"/>
      <c r="G21" s="1028"/>
      <c r="H21" s="1028"/>
      <c r="I21" s="446"/>
      <c r="J21" s="450">
        <f t="shared" si="0"/>
        <v>0</v>
      </c>
    </row>
    <row r="22" spans="1:10" ht="20.100000000000001" customHeight="1">
      <c r="A22" s="453"/>
      <c r="B22" s="451"/>
      <c r="C22" s="446" t="s">
        <v>1086</v>
      </c>
      <c r="D22" s="451"/>
      <c r="E22" s="451"/>
      <c r="F22" s="1028"/>
      <c r="G22" s="1028"/>
      <c r="H22" s="1028"/>
      <c r="I22" s="446"/>
      <c r="J22" s="450">
        <f t="shared" si="0"/>
        <v>0</v>
      </c>
    </row>
    <row r="23" spans="1:10" ht="20.100000000000001" customHeight="1">
      <c r="A23" s="453"/>
      <c r="B23" s="451"/>
      <c r="C23" s="446" t="s">
        <v>1086</v>
      </c>
      <c r="D23" s="449"/>
      <c r="E23" s="451"/>
      <c r="F23" s="1028"/>
      <c r="G23" s="1028"/>
      <c r="H23" s="1028"/>
      <c r="I23" s="446"/>
      <c r="J23" s="450">
        <f t="shared" si="0"/>
        <v>0</v>
      </c>
    </row>
    <row r="24" spans="1:10" ht="20.100000000000001" customHeight="1">
      <c r="A24" s="454"/>
      <c r="B24" s="451"/>
      <c r="C24" s="446" t="s">
        <v>1086</v>
      </c>
      <c r="D24" s="449"/>
      <c r="E24" s="451"/>
      <c r="F24" s="1028"/>
      <c r="G24" s="1028"/>
      <c r="H24" s="1028"/>
      <c r="I24" s="446"/>
      <c r="J24" s="450">
        <f t="shared" si="0"/>
        <v>0</v>
      </c>
    </row>
    <row r="25" spans="1:10" ht="20.100000000000001" customHeight="1">
      <c r="A25" s="453"/>
      <c r="B25" s="451"/>
      <c r="C25" s="446" t="s">
        <v>1086</v>
      </c>
      <c r="D25" s="451"/>
      <c r="E25" s="449"/>
      <c r="F25" s="1028"/>
      <c r="G25" s="1028"/>
      <c r="H25" s="1028"/>
      <c r="I25" s="446"/>
      <c r="J25" s="450">
        <f t="shared" si="0"/>
        <v>0</v>
      </c>
    </row>
    <row r="26" spans="1:10" ht="20.100000000000001" customHeight="1">
      <c r="A26" s="453"/>
      <c r="B26" s="451"/>
      <c r="C26" s="446" t="s">
        <v>1086</v>
      </c>
      <c r="D26" s="451"/>
      <c r="E26" s="449"/>
      <c r="F26" s="1028"/>
      <c r="G26" s="1028"/>
      <c r="H26" s="1028"/>
      <c r="I26" s="446"/>
      <c r="J26" s="450">
        <f t="shared" si="0"/>
        <v>0</v>
      </c>
    </row>
    <row r="27" spans="1:10" ht="20.100000000000001" customHeight="1">
      <c r="A27" s="453"/>
      <c r="B27" s="451"/>
      <c r="C27" s="446" t="s">
        <v>1086</v>
      </c>
      <c r="D27" s="451"/>
      <c r="E27" s="449"/>
      <c r="F27" s="1028"/>
      <c r="G27" s="1028"/>
      <c r="H27" s="1028"/>
      <c r="I27" s="446"/>
      <c r="J27" s="450">
        <f t="shared" si="0"/>
        <v>0</v>
      </c>
    </row>
    <row r="28" spans="1:10" ht="20.100000000000001" customHeight="1">
      <c r="A28" s="455" t="s">
        <v>1088</v>
      </c>
      <c r="B28" s="456">
        <v>50</v>
      </c>
      <c r="C28" s="457" t="s">
        <v>1086</v>
      </c>
      <c r="D28" s="456">
        <v>720</v>
      </c>
      <c r="E28" s="458"/>
      <c r="F28" s="1038"/>
      <c r="G28" s="1038"/>
      <c r="H28" s="1038"/>
      <c r="I28" s="446"/>
      <c r="J28" s="450">
        <f t="shared" si="0"/>
        <v>0</v>
      </c>
    </row>
    <row r="29" spans="1:10" ht="20.100000000000001" customHeight="1">
      <c r="A29" s="455" t="s">
        <v>1088</v>
      </c>
      <c r="B29" s="457">
        <v>50</v>
      </c>
      <c r="C29" s="457" t="s">
        <v>1086</v>
      </c>
      <c r="D29" s="457">
        <v>820</v>
      </c>
      <c r="E29" s="459"/>
      <c r="F29" s="1038" t="s">
        <v>1089</v>
      </c>
      <c r="G29" s="1038"/>
      <c r="H29" s="1038"/>
      <c r="I29" s="446"/>
      <c r="J29" s="450">
        <f t="shared" si="0"/>
        <v>0</v>
      </c>
    </row>
    <row r="30" spans="1:10" ht="20.100000000000001" customHeight="1">
      <c r="A30" s="455" t="s">
        <v>1090</v>
      </c>
      <c r="B30" s="457">
        <v>2400</v>
      </c>
      <c r="C30" s="457" t="s">
        <v>1086</v>
      </c>
      <c r="D30" s="457"/>
      <c r="E30" s="459"/>
      <c r="F30" s="1038" t="s">
        <v>1091</v>
      </c>
      <c r="G30" s="1038"/>
      <c r="H30" s="1038"/>
      <c r="I30" s="446"/>
      <c r="J30" s="450">
        <f>B30*D30*E30/1000000</f>
        <v>0</v>
      </c>
    </row>
    <row r="31" spans="1:10" ht="20.100000000000001" customHeight="1">
      <c r="A31" s="460" t="s">
        <v>1092</v>
      </c>
      <c r="B31" s="446">
        <v>2400</v>
      </c>
      <c r="C31" s="446" t="s">
        <v>1086</v>
      </c>
      <c r="D31" s="446">
        <v>80</v>
      </c>
      <c r="E31" s="461"/>
      <c r="F31" s="1028"/>
      <c r="G31" s="1028"/>
      <c r="H31" s="1028"/>
      <c r="I31" s="446"/>
      <c r="J31" s="450">
        <f>B31*D31*E31/1000000</f>
        <v>0</v>
      </c>
    </row>
    <row r="32" spans="1:10" ht="20.100000000000001" customHeight="1">
      <c r="A32" s="462" t="s">
        <v>1093</v>
      </c>
      <c r="B32" s="463">
        <v>2400</v>
      </c>
      <c r="C32" s="463" t="s">
        <v>1086</v>
      </c>
      <c r="D32" s="463">
        <v>80</v>
      </c>
      <c r="E32" s="464"/>
      <c r="F32" s="1037"/>
      <c r="G32" s="1037"/>
      <c r="H32" s="1037"/>
      <c r="I32" s="463">
        <v>2</v>
      </c>
      <c r="J32" s="450">
        <f t="shared" si="0"/>
        <v>0</v>
      </c>
    </row>
    <row r="33" spans="1:10" ht="20.100000000000001" customHeight="1">
      <c r="A33" s="462" t="s">
        <v>1094</v>
      </c>
      <c r="B33" s="463">
        <v>2400</v>
      </c>
      <c r="C33" s="463" t="s">
        <v>1086</v>
      </c>
      <c r="D33" s="463"/>
      <c r="E33" s="465"/>
      <c r="F33" s="1037"/>
      <c r="G33" s="1037"/>
      <c r="H33" s="1037"/>
      <c r="I33" s="463">
        <v>2</v>
      </c>
      <c r="J33" s="450">
        <f t="shared" si="0"/>
        <v>0</v>
      </c>
    </row>
    <row r="34" spans="1:10" ht="20.100000000000001" customHeight="1">
      <c r="A34" s="1039" t="s">
        <v>1095</v>
      </c>
      <c r="B34" s="1040"/>
      <c r="C34" s="1040"/>
      <c r="D34" s="1040"/>
      <c r="E34" s="1040"/>
      <c r="F34" s="1040"/>
      <c r="G34" s="1040"/>
      <c r="H34" s="1040"/>
      <c r="I34" s="1040"/>
    </row>
    <row r="35" spans="1:10" ht="20.100000000000001" customHeight="1">
      <c r="A35" s="1041"/>
      <c r="B35" s="1041"/>
      <c r="C35" s="1041"/>
      <c r="D35" s="1041"/>
      <c r="E35" s="1041"/>
      <c r="F35" s="1041"/>
      <c r="G35" s="1041"/>
      <c r="H35" s="1041"/>
      <c r="I35" s="1041"/>
    </row>
    <row r="36" spans="1:10" ht="20.100000000000001" customHeight="1">
      <c r="A36" s="1042" t="s">
        <v>1096</v>
      </c>
      <c r="B36" s="1043"/>
      <c r="C36" s="1043"/>
      <c r="D36" s="1043"/>
      <c r="E36" s="1043"/>
      <c r="F36" s="1043"/>
      <c r="G36" s="1043"/>
      <c r="H36" s="1043"/>
      <c r="I36" s="1043"/>
    </row>
    <row r="37" spans="1:10" ht="20.100000000000001" customHeight="1">
      <c r="A37" s="466"/>
      <c r="B37" s="467"/>
      <c r="C37" s="468"/>
      <c r="D37" s="468"/>
      <c r="E37" s="468"/>
      <c r="F37" s="469"/>
      <c r="G37" s="470"/>
      <c r="H37" s="469"/>
      <c r="I37" s="471"/>
    </row>
    <row r="38" spans="1:10" s="468" customFormat="1" ht="20.100000000000001" customHeight="1">
      <c r="A38" s="472" t="s">
        <v>658</v>
      </c>
      <c r="B38" s="1044" t="s">
        <v>1123</v>
      </c>
      <c r="C38" s="1044"/>
      <c r="D38" s="438"/>
      <c r="E38" s="473"/>
      <c r="F38" s="1045" t="s">
        <v>1097</v>
      </c>
      <c r="G38" s="1045"/>
      <c r="H38" s="438"/>
      <c r="I38" s="471"/>
    </row>
    <row r="39" spans="1:10" ht="20.100000000000001" customHeight="1">
      <c r="A39" s="474"/>
      <c r="B39" s="1046"/>
      <c r="C39" s="1047"/>
      <c r="D39" s="475"/>
      <c r="E39" s="471"/>
      <c r="F39" s="475"/>
      <c r="G39" s="476"/>
      <c r="H39" s="475"/>
      <c r="I39" s="477"/>
    </row>
    <row r="40" spans="1:10" ht="20.100000000000001" customHeight="1">
      <c r="A40" s="474"/>
      <c r="B40" s="475"/>
      <c r="C40" s="469"/>
      <c r="D40" s="475"/>
      <c r="E40" s="471"/>
      <c r="F40" s="475"/>
      <c r="G40" s="476"/>
      <c r="H40" s="475"/>
      <c r="I40" s="477"/>
    </row>
    <row r="41" spans="1:10" ht="21.75" customHeight="1">
      <c r="A41" s="474"/>
      <c r="B41" s="475"/>
      <c r="C41" s="469"/>
      <c r="D41" s="475"/>
      <c r="E41" s="471"/>
      <c r="F41" s="475"/>
      <c r="G41" s="476"/>
      <c r="H41" s="475"/>
      <c r="I41" s="477"/>
    </row>
    <row r="42" spans="1:10" ht="21.75" customHeight="1">
      <c r="A42" s="474"/>
      <c r="B42" s="475"/>
      <c r="C42" s="469"/>
      <c r="D42" s="475"/>
      <c r="E42" s="471"/>
      <c r="F42" s="475"/>
      <c r="G42" s="476"/>
      <c r="H42" s="475"/>
      <c r="I42" s="477"/>
    </row>
    <row r="43" spans="1:10" ht="21.75" customHeight="1">
      <c r="A43" s="474"/>
      <c r="B43" s="475"/>
      <c r="C43" s="469"/>
      <c r="D43" s="475"/>
      <c r="E43" s="471"/>
      <c r="F43" s="475"/>
      <c r="G43" s="476"/>
      <c r="H43" s="475"/>
      <c r="I43" s="477"/>
    </row>
    <row r="44" spans="1:10" ht="21.75" customHeight="1">
      <c r="A44" s="474"/>
      <c r="B44" s="475"/>
      <c r="C44" s="469"/>
      <c r="D44" s="475"/>
      <c r="E44" s="471"/>
      <c r="F44" s="475"/>
      <c r="G44" s="476"/>
      <c r="H44" s="475"/>
      <c r="I44" s="477"/>
    </row>
    <row r="45" spans="1:10" ht="21.75" customHeight="1">
      <c r="A45" s="474"/>
      <c r="B45" s="475"/>
      <c r="C45" s="475"/>
      <c r="D45" s="475"/>
      <c r="E45" s="477"/>
      <c r="F45" s="475"/>
      <c r="G45" s="476"/>
      <c r="H45" s="475"/>
      <c r="I45" s="477"/>
    </row>
    <row r="46" spans="1:10" ht="20.25">
      <c r="A46" s="478"/>
      <c r="B46" s="479"/>
      <c r="C46" s="478"/>
      <c r="E46" s="478"/>
      <c r="F46" s="478"/>
      <c r="G46" s="478"/>
      <c r="H46" s="478"/>
      <c r="I46" s="478"/>
    </row>
    <row r="47" spans="1:10" ht="20.25">
      <c r="A47" s="478"/>
      <c r="B47" s="478"/>
      <c r="C47" s="478"/>
      <c r="D47" s="478"/>
      <c r="E47" s="478"/>
      <c r="F47" s="478"/>
      <c r="G47" s="478"/>
      <c r="H47" s="478"/>
      <c r="I47" s="478"/>
    </row>
    <row r="48" spans="1:10" ht="20.25">
      <c r="A48" s="478"/>
      <c r="B48" s="478"/>
      <c r="C48" s="478"/>
      <c r="D48" s="478"/>
      <c r="E48" s="478"/>
      <c r="F48" s="478"/>
      <c r="G48" s="478"/>
      <c r="H48" s="478"/>
      <c r="I48" s="478"/>
    </row>
    <row r="49" spans="1:9" ht="20.25">
      <c r="A49" s="478"/>
      <c r="B49" s="478"/>
      <c r="C49" s="478"/>
      <c r="D49" s="478"/>
      <c r="E49" s="478"/>
      <c r="F49" s="478"/>
      <c r="G49" s="478"/>
      <c r="H49" s="478"/>
      <c r="I49" s="478"/>
    </row>
    <row r="50" spans="1:9" ht="20.25">
      <c r="A50" s="478"/>
      <c r="B50" s="478"/>
      <c r="C50" s="478"/>
      <c r="D50" s="478"/>
      <c r="E50" s="478"/>
      <c r="F50" s="478"/>
      <c r="G50" s="478"/>
      <c r="H50" s="478"/>
      <c r="I50" s="478"/>
    </row>
    <row r="51" spans="1:9" ht="20.25">
      <c r="A51" s="478"/>
      <c r="B51" s="478"/>
      <c r="C51" s="478"/>
      <c r="D51" s="478"/>
      <c r="E51" s="478"/>
      <c r="F51" s="478"/>
      <c r="G51" s="478"/>
      <c r="H51" s="478"/>
      <c r="I51" s="478"/>
    </row>
    <row r="52" spans="1:9" ht="20.25">
      <c r="A52" s="478"/>
      <c r="B52" s="478"/>
      <c r="C52" s="478"/>
      <c r="D52" s="478"/>
      <c r="E52" s="478"/>
      <c r="F52" s="478"/>
      <c r="G52" s="478"/>
      <c r="H52" s="478"/>
      <c r="I52" s="478"/>
    </row>
    <row r="53" spans="1:9" ht="20.25">
      <c r="A53" s="478"/>
      <c r="B53" s="478"/>
      <c r="C53" s="478"/>
      <c r="D53" s="478"/>
      <c r="E53" s="478"/>
      <c r="F53" s="478"/>
      <c r="G53" s="478"/>
      <c r="H53" s="478"/>
      <c r="I53" s="478"/>
    </row>
    <row r="54" spans="1:9" ht="20.25">
      <c r="A54" s="478"/>
      <c r="B54" s="478"/>
      <c r="C54" s="478"/>
      <c r="D54" s="478"/>
      <c r="E54" s="478"/>
      <c r="F54" s="478"/>
      <c r="G54" s="478"/>
      <c r="H54" s="478"/>
      <c r="I54" s="478"/>
    </row>
    <row r="55" spans="1:9" ht="20.25">
      <c r="A55" s="478"/>
      <c r="B55" s="478"/>
      <c r="C55" s="478"/>
      <c r="D55" s="478"/>
      <c r="E55" s="478"/>
      <c r="F55" s="478"/>
      <c r="G55" s="478"/>
      <c r="H55" s="478"/>
      <c r="I55" s="478"/>
    </row>
    <row r="56" spans="1:9" ht="20.25">
      <c r="A56" s="478"/>
      <c r="B56" s="478"/>
      <c r="C56" s="478"/>
      <c r="D56" s="478"/>
      <c r="E56" s="478"/>
      <c r="F56" s="478"/>
      <c r="G56" s="478"/>
      <c r="H56" s="478"/>
      <c r="I56" s="478"/>
    </row>
    <row r="57" spans="1:9" ht="20.25">
      <c r="A57" s="478"/>
      <c r="B57" s="478"/>
      <c r="C57" s="478"/>
      <c r="D57" s="478"/>
      <c r="E57" s="478"/>
      <c r="F57" s="478"/>
      <c r="G57" s="478"/>
      <c r="H57" s="478"/>
      <c r="I57" s="478"/>
    </row>
    <row r="58" spans="1:9" ht="20.25">
      <c r="A58" s="478"/>
      <c r="B58" s="478"/>
      <c r="C58" s="478"/>
      <c r="D58" s="478"/>
      <c r="E58" s="478"/>
      <c r="F58" s="478"/>
      <c r="G58" s="478"/>
      <c r="H58" s="478"/>
      <c r="I58" s="478"/>
    </row>
    <row r="59" spans="1:9" ht="20.25">
      <c r="A59" s="478"/>
      <c r="B59" s="478"/>
      <c r="C59" s="478"/>
      <c r="D59" s="478"/>
      <c r="E59" s="478"/>
      <c r="F59" s="478"/>
      <c r="G59" s="478"/>
      <c r="H59" s="478"/>
      <c r="I59" s="478"/>
    </row>
    <row r="60" spans="1:9" ht="20.25">
      <c r="A60" s="478"/>
      <c r="B60" s="478"/>
      <c r="C60" s="478"/>
      <c r="D60" s="478"/>
      <c r="E60" s="478"/>
      <c r="F60" s="478"/>
      <c r="G60" s="478"/>
      <c r="H60" s="478"/>
      <c r="I60" s="478"/>
    </row>
    <row r="61" spans="1:9" ht="20.25">
      <c r="A61" s="478"/>
      <c r="B61" s="478"/>
      <c r="C61" s="478"/>
      <c r="D61" s="478"/>
      <c r="E61" s="478"/>
      <c r="F61" s="478"/>
      <c r="G61" s="478"/>
      <c r="H61" s="478"/>
      <c r="I61" s="478"/>
    </row>
    <row r="62" spans="1:9" ht="20.25">
      <c r="A62" s="478"/>
      <c r="B62" s="478"/>
      <c r="C62" s="478"/>
      <c r="D62" s="478"/>
      <c r="E62" s="478"/>
      <c r="F62" s="478"/>
      <c r="G62" s="478"/>
      <c r="H62" s="478"/>
      <c r="I62" s="478"/>
    </row>
    <row r="63" spans="1:9" ht="20.25">
      <c r="A63" s="478"/>
      <c r="B63" s="478"/>
      <c r="C63" s="478"/>
      <c r="D63" s="478"/>
      <c r="E63" s="478"/>
      <c r="F63" s="478"/>
      <c r="G63" s="478"/>
      <c r="H63" s="478"/>
      <c r="I63" s="478"/>
    </row>
    <row r="64" spans="1:9" ht="20.25">
      <c r="A64" s="478"/>
      <c r="B64" s="478"/>
      <c r="C64" s="478"/>
      <c r="D64" s="478"/>
      <c r="E64" s="478"/>
      <c r="F64" s="478"/>
      <c r="G64" s="478"/>
      <c r="H64" s="478"/>
      <c r="I64" s="478"/>
    </row>
    <row r="65" spans="1:9" ht="20.25">
      <c r="A65" s="478"/>
      <c r="B65" s="478"/>
      <c r="C65" s="478"/>
      <c r="D65" s="478"/>
      <c r="E65" s="478"/>
      <c r="F65" s="478"/>
      <c r="G65" s="478"/>
      <c r="H65" s="478"/>
      <c r="I65" s="478"/>
    </row>
    <row r="66" spans="1:9" ht="20.25">
      <c r="A66" s="478"/>
      <c r="B66" s="478"/>
      <c r="C66" s="478"/>
      <c r="D66" s="478"/>
      <c r="E66" s="478"/>
      <c r="F66" s="478"/>
      <c r="G66" s="478"/>
      <c r="H66" s="478"/>
      <c r="I66" s="478"/>
    </row>
    <row r="67" spans="1:9" ht="20.25">
      <c r="A67" s="478"/>
      <c r="B67" s="478"/>
      <c r="C67" s="478"/>
      <c r="D67" s="478"/>
      <c r="E67" s="478"/>
      <c r="F67" s="478"/>
      <c r="G67" s="478"/>
      <c r="H67" s="478"/>
      <c r="I67" s="478"/>
    </row>
    <row r="68" spans="1:9" ht="20.25">
      <c r="A68" s="478"/>
      <c r="B68" s="478"/>
      <c r="C68" s="478"/>
      <c r="D68" s="478"/>
      <c r="E68" s="478"/>
      <c r="F68" s="478"/>
      <c r="G68" s="478"/>
      <c r="H68" s="478"/>
      <c r="I68" s="478"/>
    </row>
    <row r="69" spans="1:9" ht="20.25">
      <c r="A69" s="478"/>
      <c r="B69" s="478"/>
      <c r="C69" s="478"/>
      <c r="D69" s="478"/>
      <c r="E69" s="478"/>
      <c r="F69" s="478"/>
      <c r="G69" s="478"/>
      <c r="H69" s="478"/>
      <c r="I69" s="478"/>
    </row>
    <row r="70" spans="1:9" ht="20.25">
      <c r="A70" s="478"/>
      <c r="B70" s="478"/>
      <c r="C70" s="478"/>
      <c r="D70" s="478"/>
      <c r="E70" s="478"/>
      <c r="F70" s="478"/>
      <c r="G70" s="478"/>
      <c r="H70" s="478"/>
      <c r="I70" s="478"/>
    </row>
    <row r="71" spans="1:9" ht="20.25">
      <c r="A71" s="478"/>
      <c r="B71" s="478"/>
      <c r="C71" s="478"/>
      <c r="D71" s="478"/>
      <c r="E71" s="478"/>
      <c r="F71" s="478"/>
      <c r="G71" s="478"/>
      <c r="H71" s="478"/>
      <c r="I71" s="478"/>
    </row>
    <row r="72" spans="1:9" ht="20.25">
      <c r="A72" s="478"/>
      <c r="B72" s="478"/>
      <c r="C72" s="478"/>
      <c r="D72" s="478"/>
      <c r="E72" s="478"/>
      <c r="F72" s="478"/>
      <c r="G72" s="478"/>
      <c r="H72" s="478"/>
      <c r="I72" s="478"/>
    </row>
    <row r="73" spans="1:9" ht="20.25">
      <c r="A73" s="478"/>
      <c r="B73" s="478"/>
      <c r="C73" s="478"/>
      <c r="D73" s="478"/>
      <c r="E73" s="478"/>
      <c r="F73" s="478"/>
      <c r="G73" s="478"/>
      <c r="H73" s="478"/>
      <c r="I73" s="478"/>
    </row>
    <row r="74" spans="1:9" ht="20.25">
      <c r="A74" s="478"/>
      <c r="B74" s="478"/>
      <c r="C74" s="478"/>
      <c r="D74" s="478"/>
      <c r="E74" s="478"/>
      <c r="F74" s="478"/>
      <c r="G74" s="478"/>
      <c r="H74" s="478"/>
      <c r="I74" s="478"/>
    </row>
    <row r="75" spans="1:9" ht="20.25">
      <c r="A75" s="478"/>
      <c r="B75" s="478"/>
      <c r="C75" s="478"/>
      <c r="D75" s="478"/>
      <c r="E75" s="478"/>
      <c r="F75" s="478"/>
      <c r="G75" s="478"/>
      <c r="H75" s="478"/>
      <c r="I75" s="478"/>
    </row>
    <row r="76" spans="1:9" ht="20.25">
      <c r="A76" s="478"/>
      <c r="B76" s="478"/>
      <c r="C76" s="478"/>
      <c r="D76" s="478"/>
      <c r="E76" s="478"/>
      <c r="F76" s="478"/>
      <c r="G76" s="478"/>
      <c r="H76" s="478"/>
      <c r="I76" s="478"/>
    </row>
    <row r="77" spans="1:9" ht="20.25">
      <c r="A77" s="478"/>
      <c r="B77" s="478"/>
      <c r="C77" s="478"/>
      <c r="D77" s="478"/>
      <c r="E77" s="478"/>
      <c r="F77" s="478"/>
      <c r="G77" s="478"/>
      <c r="H77" s="478"/>
      <c r="I77" s="478"/>
    </row>
    <row r="78" spans="1:9" ht="20.25">
      <c r="A78" s="478"/>
      <c r="B78" s="478"/>
      <c r="C78" s="478"/>
      <c r="D78" s="478"/>
      <c r="E78" s="478"/>
      <c r="F78" s="478"/>
      <c r="G78" s="478"/>
      <c r="H78" s="478"/>
      <c r="I78" s="478"/>
    </row>
    <row r="79" spans="1:9" ht="20.25">
      <c r="A79" s="478"/>
      <c r="B79" s="478"/>
      <c r="C79" s="478"/>
      <c r="D79" s="478"/>
      <c r="E79" s="478"/>
      <c r="F79" s="478"/>
      <c r="G79" s="478"/>
      <c r="H79" s="478"/>
      <c r="I79" s="478"/>
    </row>
    <row r="80" spans="1:9" ht="20.25">
      <c r="A80" s="478"/>
      <c r="B80" s="478"/>
      <c r="C80" s="478"/>
      <c r="D80" s="478"/>
      <c r="E80" s="478"/>
      <c r="F80" s="478"/>
      <c r="G80" s="478"/>
      <c r="H80" s="478"/>
      <c r="I80" s="478"/>
    </row>
    <row r="81" spans="1:9" ht="20.25">
      <c r="A81" s="478"/>
      <c r="B81" s="478"/>
      <c r="C81" s="478"/>
      <c r="D81" s="478"/>
      <c r="E81" s="478"/>
      <c r="F81" s="478"/>
      <c r="G81" s="478"/>
      <c r="H81" s="478"/>
      <c r="I81" s="478"/>
    </row>
    <row r="82" spans="1:9" ht="20.25">
      <c r="A82" s="478"/>
      <c r="B82" s="478"/>
      <c r="C82" s="478"/>
      <c r="D82" s="478"/>
      <c r="E82" s="478"/>
      <c r="F82" s="478"/>
      <c r="G82" s="478"/>
      <c r="H82" s="478"/>
      <c r="I82" s="478"/>
    </row>
    <row r="83" spans="1:9" ht="20.25">
      <c r="A83" s="478"/>
      <c r="B83" s="478"/>
      <c r="C83" s="478"/>
      <c r="D83" s="478"/>
      <c r="E83" s="478"/>
      <c r="F83" s="478"/>
      <c r="G83" s="478"/>
      <c r="H83" s="478"/>
      <c r="I83" s="478"/>
    </row>
    <row r="84" spans="1:9" ht="20.25">
      <c r="A84" s="478"/>
      <c r="B84" s="478"/>
      <c r="C84" s="478"/>
      <c r="D84" s="478"/>
      <c r="E84" s="478"/>
      <c r="F84" s="478"/>
      <c r="G84" s="478"/>
      <c r="H84" s="478"/>
      <c r="I84" s="478"/>
    </row>
    <row r="85" spans="1:9" ht="20.25">
      <c r="A85" s="478"/>
      <c r="B85" s="478"/>
      <c r="C85" s="478"/>
      <c r="D85" s="478"/>
      <c r="E85" s="478"/>
      <c r="F85" s="478"/>
      <c r="G85" s="478"/>
      <c r="H85" s="478"/>
      <c r="I85" s="478"/>
    </row>
    <row r="86" spans="1:9" ht="20.25">
      <c r="A86" s="478"/>
      <c r="B86" s="478"/>
      <c r="C86" s="478"/>
      <c r="D86" s="478"/>
      <c r="E86" s="478"/>
      <c r="F86" s="478"/>
      <c r="G86" s="478"/>
      <c r="H86" s="478"/>
      <c r="I86" s="478"/>
    </row>
    <row r="87" spans="1:9" ht="20.25">
      <c r="A87" s="478"/>
      <c r="B87" s="478"/>
      <c r="C87" s="478"/>
      <c r="D87" s="478"/>
      <c r="E87" s="478"/>
      <c r="F87" s="478"/>
      <c r="G87" s="478"/>
      <c r="H87" s="478"/>
      <c r="I87" s="478"/>
    </row>
    <row r="88" spans="1:9" ht="20.25">
      <c r="A88" s="478"/>
      <c r="B88" s="478"/>
      <c r="C88" s="478"/>
      <c r="D88" s="478"/>
      <c r="E88" s="478"/>
      <c r="F88" s="478"/>
      <c r="G88" s="478"/>
      <c r="H88" s="478"/>
      <c r="I88" s="478"/>
    </row>
    <row r="89" spans="1:9" ht="20.25">
      <c r="A89" s="478"/>
      <c r="B89" s="478"/>
      <c r="C89" s="478"/>
      <c r="D89" s="478"/>
      <c r="E89" s="478"/>
      <c r="F89" s="478"/>
      <c r="G89" s="478"/>
      <c r="H89" s="478"/>
      <c r="I89" s="478"/>
    </row>
    <row r="90" spans="1:9" ht="20.25">
      <c r="A90" s="478"/>
      <c r="B90" s="478"/>
      <c r="C90" s="478"/>
      <c r="D90" s="478"/>
      <c r="E90" s="478"/>
      <c r="F90" s="478"/>
      <c r="G90" s="478"/>
      <c r="H90" s="478"/>
      <c r="I90" s="478"/>
    </row>
    <row r="91" spans="1:9" ht="20.25">
      <c r="A91" s="478"/>
      <c r="B91" s="478"/>
      <c r="C91" s="478"/>
      <c r="D91" s="478"/>
      <c r="E91" s="478"/>
      <c r="F91" s="478"/>
      <c r="G91" s="478"/>
      <c r="H91" s="478"/>
      <c r="I91" s="478"/>
    </row>
    <row r="92" spans="1:9" ht="20.25">
      <c r="A92" s="478"/>
      <c r="B92" s="478"/>
      <c r="C92" s="478"/>
      <c r="D92" s="478"/>
      <c r="E92" s="478"/>
      <c r="F92" s="478"/>
      <c r="G92" s="478"/>
      <c r="H92" s="478"/>
      <c r="I92" s="478"/>
    </row>
    <row r="93" spans="1:9" ht="20.25">
      <c r="A93" s="478"/>
      <c r="B93" s="478"/>
      <c r="C93" s="478"/>
      <c r="D93" s="478"/>
      <c r="E93" s="478"/>
      <c r="F93" s="478"/>
      <c r="G93" s="478"/>
      <c r="H93" s="478"/>
      <c r="I93" s="478"/>
    </row>
    <row r="94" spans="1:9" ht="20.25">
      <c r="A94" s="478"/>
      <c r="B94" s="478"/>
      <c r="C94" s="478"/>
      <c r="D94" s="478"/>
      <c r="E94" s="478"/>
      <c r="F94" s="478"/>
      <c r="G94" s="478"/>
      <c r="H94" s="478"/>
      <c r="I94" s="478"/>
    </row>
    <row r="95" spans="1:9" ht="20.25">
      <c r="A95" s="478"/>
      <c r="B95" s="478"/>
      <c r="C95" s="478"/>
      <c r="D95" s="478"/>
      <c r="E95" s="478"/>
      <c r="F95" s="478"/>
      <c r="G95" s="478"/>
      <c r="H95" s="478"/>
      <c r="I95" s="478"/>
    </row>
    <row r="96" spans="1:9" ht="20.25">
      <c r="A96" s="478"/>
      <c r="B96" s="478"/>
      <c r="C96" s="478"/>
      <c r="D96" s="478"/>
      <c r="E96" s="478"/>
      <c r="F96" s="478"/>
      <c r="G96" s="478"/>
      <c r="H96" s="478"/>
      <c r="I96" s="478"/>
    </row>
    <row r="97" spans="1:9" ht="20.25">
      <c r="A97" s="478"/>
      <c r="B97" s="478"/>
      <c r="C97" s="478"/>
      <c r="D97" s="478"/>
      <c r="E97" s="478"/>
      <c r="F97" s="478"/>
      <c r="G97" s="478"/>
      <c r="H97" s="478"/>
      <c r="I97" s="478"/>
    </row>
    <row r="98" spans="1:9" ht="20.25">
      <c r="A98" s="478"/>
      <c r="B98" s="478"/>
      <c r="C98" s="478"/>
      <c r="D98" s="478"/>
      <c r="E98" s="478"/>
      <c r="F98" s="478"/>
      <c r="G98" s="478"/>
      <c r="H98" s="478"/>
      <c r="I98" s="478"/>
    </row>
    <row r="99" spans="1:9" ht="20.25">
      <c r="A99" s="478"/>
      <c r="B99" s="478"/>
      <c r="C99" s="478"/>
      <c r="D99" s="478"/>
      <c r="E99" s="478"/>
      <c r="F99" s="478"/>
      <c r="G99" s="478"/>
      <c r="H99" s="478"/>
      <c r="I99" s="478"/>
    </row>
    <row r="100" spans="1:9" ht="20.25">
      <c r="A100" s="478"/>
      <c r="B100" s="478"/>
      <c r="C100" s="478"/>
      <c r="D100" s="478"/>
      <c r="E100" s="478"/>
      <c r="F100" s="478"/>
      <c r="G100" s="478"/>
      <c r="H100" s="478"/>
      <c r="I100" s="478"/>
    </row>
    <row r="101" spans="1:9" ht="20.25">
      <c r="A101" s="478"/>
      <c r="B101" s="478"/>
      <c r="C101" s="478"/>
      <c r="D101" s="478"/>
      <c r="E101" s="478"/>
      <c r="F101" s="478"/>
      <c r="G101" s="478"/>
      <c r="H101" s="478"/>
      <c r="I101" s="478"/>
    </row>
    <row r="102" spans="1:9" ht="20.25">
      <c r="A102" s="478"/>
      <c r="B102" s="478"/>
      <c r="C102" s="478"/>
      <c r="D102" s="478"/>
      <c r="E102" s="478"/>
      <c r="F102" s="478"/>
      <c r="G102" s="478"/>
      <c r="H102" s="478"/>
      <c r="I102" s="478"/>
    </row>
    <row r="103" spans="1:9" ht="20.25">
      <c r="A103" s="478"/>
      <c r="B103" s="478"/>
      <c r="C103" s="478"/>
      <c r="D103" s="478"/>
      <c r="E103" s="478"/>
      <c r="F103" s="478"/>
      <c r="G103" s="478"/>
      <c r="H103" s="478"/>
      <c r="I103" s="478"/>
    </row>
    <row r="104" spans="1:9" ht="20.25">
      <c r="A104" s="478"/>
      <c r="B104" s="478"/>
      <c r="C104" s="478"/>
      <c r="D104" s="478"/>
      <c r="E104" s="478"/>
      <c r="F104" s="478"/>
      <c r="G104" s="478"/>
      <c r="H104" s="478"/>
      <c r="I104" s="478"/>
    </row>
    <row r="105" spans="1:9" ht="20.25">
      <c r="A105" s="478"/>
      <c r="B105" s="478"/>
      <c r="C105" s="478"/>
      <c r="D105" s="478"/>
      <c r="E105" s="478"/>
      <c r="F105" s="478"/>
      <c r="G105" s="478"/>
      <c r="H105" s="478"/>
      <c r="I105" s="478"/>
    </row>
    <row r="106" spans="1:9" ht="20.25">
      <c r="A106" s="478"/>
      <c r="B106" s="478"/>
      <c r="C106" s="478"/>
      <c r="D106" s="478"/>
      <c r="E106" s="478"/>
      <c r="F106" s="478"/>
      <c r="G106" s="478"/>
      <c r="H106" s="478"/>
      <c r="I106" s="478"/>
    </row>
    <row r="107" spans="1:9" ht="20.25">
      <c r="A107" s="478"/>
      <c r="B107" s="478"/>
      <c r="C107" s="478"/>
      <c r="D107" s="478"/>
      <c r="E107" s="478"/>
      <c r="F107" s="478"/>
      <c r="G107" s="478"/>
      <c r="H107" s="478"/>
      <c r="I107" s="478"/>
    </row>
    <row r="108" spans="1:9" ht="20.25">
      <c r="A108" s="478"/>
      <c r="B108" s="478"/>
      <c r="C108" s="478"/>
      <c r="D108" s="478"/>
      <c r="E108" s="478"/>
      <c r="F108" s="478"/>
      <c r="G108" s="478"/>
      <c r="H108" s="478"/>
      <c r="I108" s="478"/>
    </row>
    <row r="109" spans="1:9" ht="20.25">
      <c r="A109" s="478"/>
      <c r="B109" s="478"/>
      <c r="C109" s="478"/>
      <c r="D109" s="478"/>
      <c r="E109" s="478"/>
      <c r="F109" s="478"/>
      <c r="G109" s="478"/>
      <c r="H109" s="478"/>
      <c r="I109" s="478"/>
    </row>
    <row r="110" spans="1:9" ht="20.25">
      <c r="A110" s="478"/>
      <c r="B110" s="478"/>
      <c r="C110" s="478"/>
      <c r="D110" s="478"/>
      <c r="E110" s="478"/>
      <c r="F110" s="478"/>
      <c r="G110" s="478"/>
      <c r="H110" s="478"/>
      <c r="I110" s="478"/>
    </row>
    <row r="111" spans="1:9" ht="20.25">
      <c r="A111" s="478"/>
      <c r="B111" s="478"/>
      <c r="C111" s="478"/>
      <c r="D111" s="478"/>
      <c r="E111" s="478"/>
      <c r="F111" s="478"/>
      <c r="G111" s="478"/>
      <c r="H111" s="478"/>
      <c r="I111" s="478"/>
    </row>
    <row r="112" spans="1:9" ht="20.25">
      <c r="A112" s="478"/>
      <c r="B112" s="478"/>
      <c r="C112" s="478"/>
      <c r="D112" s="478"/>
      <c r="E112" s="478"/>
      <c r="F112" s="478"/>
      <c r="G112" s="478"/>
      <c r="H112" s="478"/>
      <c r="I112" s="478"/>
    </row>
    <row r="113" spans="1:9" ht="20.25">
      <c r="A113" s="478"/>
      <c r="B113" s="478"/>
      <c r="C113" s="478"/>
      <c r="D113" s="478"/>
      <c r="E113" s="478"/>
      <c r="F113" s="478"/>
      <c r="G113" s="478"/>
      <c r="H113" s="478"/>
      <c r="I113" s="478"/>
    </row>
    <row r="114" spans="1:9" ht="20.25">
      <c r="A114" s="478"/>
      <c r="B114" s="478"/>
      <c r="C114" s="478"/>
      <c r="D114" s="478"/>
      <c r="E114" s="478"/>
      <c r="F114" s="478"/>
      <c r="G114" s="478"/>
      <c r="H114" s="478"/>
      <c r="I114" s="478"/>
    </row>
    <row r="115" spans="1:9" ht="20.25">
      <c r="A115" s="478"/>
      <c r="B115" s="478"/>
      <c r="C115" s="478"/>
      <c r="D115" s="478"/>
      <c r="E115" s="478"/>
      <c r="F115" s="478"/>
      <c r="G115" s="478"/>
      <c r="H115" s="478"/>
      <c r="I115" s="478"/>
    </row>
    <row r="116" spans="1:9" ht="20.25">
      <c r="A116" s="478"/>
      <c r="B116" s="478"/>
      <c r="C116" s="478"/>
      <c r="D116" s="478"/>
      <c r="E116" s="478"/>
      <c r="F116" s="478"/>
      <c r="G116" s="478"/>
      <c r="H116" s="478"/>
      <c r="I116" s="478"/>
    </row>
    <row r="117" spans="1:9" ht="20.25">
      <c r="A117" s="478"/>
      <c r="B117" s="478"/>
      <c r="C117" s="478"/>
      <c r="D117" s="478"/>
      <c r="E117" s="478"/>
      <c r="F117" s="478"/>
      <c r="G117" s="478"/>
      <c r="H117" s="478"/>
      <c r="I117" s="478"/>
    </row>
    <row r="118" spans="1:9" ht="20.25">
      <c r="A118" s="478"/>
      <c r="B118" s="478"/>
      <c r="C118" s="478"/>
      <c r="D118" s="478"/>
      <c r="E118" s="478"/>
      <c r="F118" s="478"/>
      <c r="G118" s="478"/>
      <c r="H118" s="478"/>
      <c r="I118" s="478"/>
    </row>
    <row r="119" spans="1:9" ht="20.25">
      <c r="A119" s="478"/>
      <c r="B119" s="478"/>
      <c r="C119" s="478"/>
      <c r="D119" s="478"/>
      <c r="E119" s="478"/>
      <c r="F119" s="478"/>
      <c r="G119" s="478"/>
      <c r="H119" s="478"/>
      <c r="I119" s="478"/>
    </row>
    <row r="120" spans="1:9" ht="20.25">
      <c r="A120" s="478"/>
      <c r="B120" s="478"/>
      <c r="C120" s="478"/>
      <c r="D120" s="478"/>
      <c r="E120" s="478"/>
      <c r="F120" s="478"/>
      <c r="G120" s="478"/>
      <c r="H120" s="478"/>
      <c r="I120" s="478"/>
    </row>
    <row r="121" spans="1:9" ht="20.25">
      <c r="A121" s="478"/>
      <c r="B121" s="478"/>
      <c r="C121" s="478"/>
      <c r="D121" s="478"/>
      <c r="E121" s="478"/>
      <c r="F121" s="478"/>
      <c r="G121" s="478"/>
      <c r="H121" s="478"/>
      <c r="I121" s="478"/>
    </row>
    <row r="122" spans="1:9" ht="20.25">
      <c r="A122" s="478"/>
      <c r="B122" s="478"/>
      <c r="C122" s="478"/>
      <c r="D122" s="478"/>
      <c r="E122" s="478"/>
      <c r="F122" s="478"/>
      <c r="G122" s="478"/>
      <c r="H122" s="478"/>
      <c r="I122" s="478"/>
    </row>
    <row r="123" spans="1:9" ht="20.25">
      <c r="A123" s="478"/>
      <c r="B123" s="478"/>
      <c r="C123" s="478"/>
      <c r="D123" s="478"/>
      <c r="E123" s="478"/>
      <c r="F123" s="478"/>
      <c r="G123" s="478"/>
      <c r="H123" s="478"/>
      <c r="I123" s="478"/>
    </row>
    <row r="124" spans="1:9" ht="20.25">
      <c r="A124" s="478"/>
      <c r="B124" s="478"/>
      <c r="C124" s="478"/>
      <c r="D124" s="478"/>
      <c r="E124" s="478"/>
      <c r="F124" s="478"/>
      <c r="G124" s="478"/>
      <c r="H124" s="478"/>
      <c r="I124" s="478"/>
    </row>
    <row r="125" spans="1:9" ht="20.25">
      <c r="A125" s="478"/>
      <c r="B125" s="478"/>
      <c r="C125" s="478"/>
      <c r="D125" s="478"/>
      <c r="E125" s="478"/>
      <c r="F125" s="478"/>
      <c r="G125" s="478"/>
      <c r="H125" s="478"/>
      <c r="I125" s="478"/>
    </row>
    <row r="126" spans="1:9" ht="20.25">
      <c r="A126" s="478"/>
      <c r="B126" s="478"/>
      <c r="C126" s="478"/>
      <c r="D126" s="478"/>
      <c r="E126" s="478"/>
      <c r="F126" s="478"/>
      <c r="G126" s="478"/>
      <c r="H126" s="478"/>
      <c r="I126" s="478"/>
    </row>
    <row r="127" spans="1:9" ht="20.25">
      <c r="A127" s="478"/>
      <c r="B127" s="478"/>
      <c r="C127" s="478"/>
      <c r="D127" s="478"/>
      <c r="E127" s="478"/>
      <c r="F127" s="478"/>
      <c r="G127" s="478"/>
      <c r="H127" s="478"/>
      <c r="I127" s="478"/>
    </row>
    <row r="128" spans="1:9" ht="20.25">
      <c r="A128" s="478"/>
      <c r="B128" s="478"/>
      <c r="C128" s="478"/>
      <c r="D128" s="478"/>
      <c r="E128" s="478"/>
      <c r="F128" s="478"/>
      <c r="G128" s="478"/>
      <c r="H128" s="478"/>
      <c r="I128" s="478"/>
    </row>
    <row r="129" spans="1:9" ht="20.25">
      <c r="A129" s="478"/>
      <c r="B129" s="478"/>
      <c r="C129" s="478"/>
      <c r="D129" s="478"/>
      <c r="E129" s="478"/>
      <c r="F129" s="478"/>
      <c r="G129" s="478"/>
      <c r="H129" s="478"/>
      <c r="I129" s="478"/>
    </row>
    <row r="130" spans="1:9" ht="20.25">
      <c r="A130" s="478"/>
      <c r="B130" s="478"/>
      <c r="C130" s="478"/>
      <c r="D130" s="478"/>
      <c r="E130" s="478"/>
      <c r="F130" s="478"/>
      <c r="G130" s="478"/>
      <c r="H130" s="478"/>
      <c r="I130" s="478"/>
    </row>
    <row r="131" spans="1:9" ht="20.25">
      <c r="A131" s="478"/>
      <c r="B131" s="478"/>
      <c r="C131" s="478"/>
      <c r="D131" s="478"/>
      <c r="E131" s="478"/>
      <c r="F131" s="478"/>
      <c r="G131" s="478"/>
      <c r="H131" s="478"/>
      <c r="I131" s="478"/>
    </row>
    <row r="132" spans="1:9" ht="20.25">
      <c r="A132" s="478"/>
      <c r="B132" s="478"/>
      <c r="C132" s="478"/>
      <c r="D132" s="478"/>
      <c r="E132" s="478"/>
      <c r="F132" s="478"/>
      <c r="G132" s="478"/>
      <c r="H132" s="478"/>
      <c r="I132" s="478"/>
    </row>
    <row r="133" spans="1:9" ht="20.25">
      <c r="A133" s="478"/>
      <c r="B133" s="478"/>
      <c r="C133" s="478"/>
      <c r="D133" s="478"/>
      <c r="E133" s="478"/>
      <c r="F133" s="478"/>
      <c r="G133" s="478"/>
      <c r="H133" s="478"/>
      <c r="I133" s="478"/>
    </row>
    <row r="134" spans="1:9" ht="20.25">
      <c r="A134" s="478"/>
      <c r="B134" s="478"/>
      <c r="C134" s="478"/>
      <c r="D134" s="478"/>
      <c r="E134" s="478"/>
      <c r="F134" s="478"/>
      <c r="G134" s="478"/>
      <c r="H134" s="478"/>
      <c r="I134" s="478"/>
    </row>
    <row r="135" spans="1:9" ht="20.25">
      <c r="A135" s="478"/>
      <c r="B135" s="478"/>
      <c r="C135" s="478"/>
      <c r="D135" s="478"/>
      <c r="E135" s="478"/>
      <c r="F135" s="478"/>
      <c r="G135" s="478"/>
      <c r="H135" s="478"/>
      <c r="I135" s="478"/>
    </row>
    <row r="136" spans="1:9" ht="20.25">
      <c r="A136" s="478"/>
      <c r="B136" s="478"/>
      <c r="C136" s="478"/>
      <c r="D136" s="478"/>
      <c r="E136" s="478"/>
      <c r="F136" s="478"/>
      <c r="G136" s="478"/>
      <c r="H136" s="478"/>
      <c r="I136" s="478"/>
    </row>
    <row r="137" spans="1:9" ht="20.25">
      <c r="A137" s="478"/>
      <c r="B137" s="478"/>
      <c r="C137" s="478"/>
      <c r="D137" s="478"/>
      <c r="E137" s="478"/>
      <c r="F137" s="478"/>
      <c r="G137" s="478"/>
      <c r="H137" s="478"/>
      <c r="I137" s="478"/>
    </row>
    <row r="138" spans="1:9" ht="20.25">
      <c r="A138" s="478"/>
      <c r="B138" s="478"/>
      <c r="C138" s="478"/>
      <c r="D138" s="478"/>
      <c r="E138" s="478"/>
      <c r="F138" s="478"/>
      <c r="G138" s="478"/>
      <c r="H138" s="478"/>
      <c r="I138" s="478"/>
    </row>
    <row r="139" spans="1:9" ht="20.25">
      <c r="A139" s="478"/>
      <c r="B139" s="478"/>
      <c r="C139" s="478"/>
      <c r="D139" s="478"/>
      <c r="E139" s="478"/>
      <c r="F139" s="478"/>
      <c r="G139" s="478"/>
      <c r="H139" s="478"/>
      <c r="I139" s="478"/>
    </row>
    <row r="140" spans="1:9" ht="20.25">
      <c r="A140" s="478"/>
      <c r="B140" s="478"/>
      <c r="C140" s="478"/>
      <c r="D140" s="478"/>
      <c r="E140" s="478"/>
      <c r="F140" s="478"/>
      <c r="G140" s="478"/>
      <c r="H140" s="478"/>
      <c r="I140" s="478"/>
    </row>
    <row r="141" spans="1:9" ht="20.25">
      <c r="A141" s="478"/>
      <c r="B141" s="478"/>
      <c r="C141" s="478"/>
      <c r="D141" s="478"/>
      <c r="E141" s="478"/>
      <c r="F141" s="478"/>
      <c r="G141" s="478"/>
      <c r="H141" s="478"/>
      <c r="I141" s="478"/>
    </row>
    <row r="142" spans="1:9" ht="20.25">
      <c r="A142" s="478"/>
      <c r="B142" s="478"/>
      <c r="C142" s="478"/>
      <c r="D142" s="478"/>
      <c r="E142" s="478"/>
      <c r="F142" s="478"/>
      <c r="G142" s="478"/>
      <c r="H142" s="478"/>
      <c r="I142" s="478"/>
    </row>
    <row r="143" spans="1:9" ht="20.25">
      <c r="A143" s="478"/>
      <c r="B143" s="478"/>
      <c r="C143" s="478"/>
      <c r="D143" s="478"/>
      <c r="E143" s="478"/>
      <c r="F143" s="478"/>
      <c r="G143" s="478"/>
      <c r="H143" s="478"/>
      <c r="I143" s="478"/>
    </row>
    <row r="144" spans="1:9" ht="20.25">
      <c r="A144" s="478"/>
      <c r="B144" s="478"/>
      <c r="C144" s="478"/>
      <c r="D144" s="478"/>
      <c r="E144" s="478"/>
      <c r="F144" s="478"/>
      <c r="G144" s="478"/>
      <c r="H144" s="478"/>
      <c r="I144" s="478"/>
    </row>
    <row r="145" spans="1:9" ht="20.25">
      <c r="A145" s="478"/>
      <c r="B145" s="478"/>
      <c r="C145" s="478"/>
      <c r="D145" s="478"/>
      <c r="E145" s="478"/>
      <c r="F145" s="478"/>
      <c r="G145" s="478"/>
      <c r="H145" s="478"/>
      <c r="I145" s="478"/>
    </row>
    <row r="146" spans="1:9" ht="20.25">
      <c r="A146" s="478"/>
      <c r="B146" s="478"/>
      <c r="C146" s="478"/>
      <c r="D146" s="478"/>
      <c r="E146" s="478"/>
      <c r="F146" s="478"/>
      <c r="G146" s="478"/>
      <c r="H146" s="478"/>
      <c r="I146" s="478"/>
    </row>
    <row r="147" spans="1:9" ht="20.25">
      <c r="A147" s="478"/>
      <c r="B147" s="478"/>
      <c r="C147" s="478"/>
      <c r="D147" s="478"/>
      <c r="E147" s="478"/>
      <c r="F147" s="478"/>
      <c r="G147" s="478"/>
      <c r="H147" s="478"/>
      <c r="I147" s="478"/>
    </row>
    <row r="148" spans="1:9" ht="20.25">
      <c r="A148" s="478"/>
      <c r="B148" s="478"/>
      <c r="C148" s="478"/>
      <c r="D148" s="478"/>
      <c r="E148" s="478"/>
      <c r="F148" s="478"/>
      <c r="G148" s="478"/>
      <c r="H148" s="478"/>
      <c r="I148" s="478"/>
    </row>
    <row r="149" spans="1:9" ht="20.25">
      <c r="A149" s="478"/>
      <c r="B149" s="478"/>
      <c r="C149" s="478"/>
      <c r="D149" s="478"/>
      <c r="E149" s="478"/>
      <c r="F149" s="478"/>
      <c r="G149" s="478"/>
      <c r="H149" s="478"/>
      <c r="I149" s="478"/>
    </row>
    <row r="150" spans="1:9" ht="20.25">
      <c r="A150" s="478"/>
      <c r="B150" s="478"/>
      <c r="C150" s="478"/>
      <c r="D150" s="478"/>
      <c r="E150" s="478"/>
      <c r="F150" s="478"/>
      <c r="G150" s="478"/>
      <c r="H150" s="478"/>
      <c r="I150" s="478"/>
    </row>
    <row r="151" spans="1:9" ht="20.25">
      <c r="A151" s="478"/>
      <c r="B151" s="478"/>
      <c r="C151" s="478"/>
      <c r="D151" s="478"/>
      <c r="E151" s="478"/>
      <c r="F151" s="478"/>
      <c r="G151" s="478"/>
      <c r="H151" s="478"/>
      <c r="I151" s="478"/>
    </row>
    <row r="152" spans="1:9" ht="20.25">
      <c r="A152" s="478"/>
      <c r="B152" s="478"/>
      <c r="C152" s="478"/>
      <c r="D152" s="478"/>
      <c r="E152" s="478"/>
      <c r="F152" s="478"/>
      <c r="G152" s="478"/>
      <c r="H152" s="478"/>
      <c r="I152" s="478"/>
    </row>
    <row r="153" spans="1:9" ht="20.25">
      <c r="A153" s="478"/>
      <c r="B153" s="478"/>
      <c r="C153" s="478"/>
      <c r="D153" s="478"/>
      <c r="E153" s="478"/>
      <c r="F153" s="478"/>
      <c r="G153" s="478"/>
      <c r="H153" s="478"/>
      <c r="I153" s="478"/>
    </row>
    <row r="154" spans="1:9" ht="20.25">
      <c r="A154" s="478"/>
      <c r="B154" s="478"/>
      <c r="C154" s="478"/>
      <c r="D154" s="478"/>
      <c r="E154" s="478"/>
      <c r="F154" s="478"/>
      <c r="G154" s="478"/>
      <c r="H154" s="478"/>
      <c r="I154" s="478"/>
    </row>
    <row r="155" spans="1:9" ht="20.25">
      <c r="A155" s="478"/>
      <c r="B155" s="478"/>
      <c r="C155" s="478"/>
      <c r="D155" s="478"/>
      <c r="E155" s="478"/>
      <c r="F155" s="478"/>
      <c r="G155" s="478"/>
      <c r="H155" s="478"/>
      <c r="I155" s="478"/>
    </row>
    <row r="156" spans="1:9" ht="20.25">
      <c r="A156" s="478"/>
      <c r="B156" s="478"/>
      <c r="C156" s="478"/>
      <c r="D156" s="478"/>
      <c r="E156" s="478"/>
      <c r="F156" s="478"/>
      <c r="G156" s="478"/>
      <c r="H156" s="478"/>
      <c r="I156" s="478"/>
    </row>
    <row r="157" spans="1:9" ht="20.25">
      <c r="A157" s="478"/>
      <c r="B157" s="478"/>
      <c r="C157" s="478"/>
      <c r="D157" s="478"/>
      <c r="E157" s="478"/>
      <c r="F157" s="478"/>
      <c r="G157" s="478"/>
      <c r="H157" s="478"/>
      <c r="I157" s="478"/>
    </row>
    <row r="158" spans="1:9" ht="20.25">
      <c r="A158" s="478"/>
      <c r="B158" s="478"/>
      <c r="C158" s="478"/>
      <c r="D158" s="478"/>
      <c r="E158" s="478"/>
      <c r="F158" s="478"/>
      <c r="G158" s="478"/>
      <c r="H158" s="478"/>
      <c r="I158" s="478"/>
    </row>
    <row r="159" spans="1:9" ht="20.25">
      <c r="A159" s="478"/>
      <c r="B159" s="478"/>
      <c r="C159" s="478"/>
      <c r="D159" s="478"/>
      <c r="E159" s="478"/>
      <c r="F159" s="478"/>
      <c r="G159" s="478"/>
      <c r="H159" s="478"/>
      <c r="I159" s="478"/>
    </row>
    <row r="160" spans="1:9" ht="20.25">
      <c r="A160" s="478"/>
      <c r="B160" s="478"/>
      <c r="C160" s="478"/>
      <c r="D160" s="478"/>
      <c r="E160" s="478"/>
      <c r="F160" s="478"/>
      <c r="G160" s="478"/>
      <c r="H160" s="478"/>
      <c r="I160" s="478"/>
    </row>
    <row r="161" spans="1:9" ht="20.25">
      <c r="A161" s="478"/>
      <c r="B161" s="478"/>
      <c r="C161" s="478"/>
      <c r="D161" s="478"/>
      <c r="E161" s="478"/>
      <c r="F161" s="478"/>
      <c r="G161" s="478"/>
      <c r="H161" s="478"/>
      <c r="I161" s="478"/>
    </row>
    <row r="162" spans="1:9" ht="20.25">
      <c r="A162" s="478"/>
      <c r="B162" s="478"/>
      <c r="C162" s="478"/>
      <c r="D162" s="478"/>
      <c r="E162" s="478"/>
      <c r="F162" s="478"/>
      <c r="G162" s="478"/>
      <c r="H162" s="478"/>
      <c r="I162" s="478"/>
    </row>
    <row r="163" spans="1:9" ht="20.25">
      <c r="A163" s="478"/>
      <c r="B163" s="478"/>
      <c r="C163" s="478"/>
      <c r="D163" s="478"/>
      <c r="E163" s="478"/>
      <c r="F163" s="478"/>
      <c r="G163" s="478"/>
      <c r="H163" s="478"/>
      <c r="I163" s="478"/>
    </row>
    <row r="164" spans="1:9" ht="20.25">
      <c r="A164" s="478"/>
      <c r="B164" s="478"/>
      <c r="C164" s="478"/>
      <c r="D164" s="478"/>
      <c r="E164" s="478"/>
      <c r="F164" s="478"/>
      <c r="G164" s="478"/>
      <c r="H164" s="478"/>
      <c r="I164" s="478"/>
    </row>
    <row r="165" spans="1:9" ht="20.25">
      <c r="A165" s="478"/>
      <c r="B165" s="478"/>
      <c r="C165" s="478"/>
      <c r="D165" s="478"/>
      <c r="E165" s="478"/>
      <c r="F165" s="478"/>
      <c r="G165" s="478"/>
      <c r="H165" s="478"/>
      <c r="I165" s="478"/>
    </row>
    <row r="166" spans="1:9" ht="20.25">
      <c r="A166" s="478"/>
      <c r="B166" s="478"/>
      <c r="C166" s="478"/>
      <c r="D166" s="478"/>
      <c r="E166" s="478"/>
      <c r="F166" s="478"/>
      <c r="G166" s="478"/>
      <c r="H166" s="478"/>
      <c r="I166" s="478"/>
    </row>
    <row r="167" spans="1:9" ht="20.25">
      <c r="A167" s="478"/>
      <c r="B167" s="478"/>
      <c r="C167" s="478"/>
      <c r="D167" s="478"/>
      <c r="E167" s="478"/>
      <c r="F167" s="478"/>
      <c r="G167" s="478"/>
      <c r="H167" s="478"/>
      <c r="I167" s="478"/>
    </row>
    <row r="168" spans="1:9" ht="20.25">
      <c r="A168" s="478"/>
      <c r="B168" s="478"/>
      <c r="C168" s="478"/>
      <c r="D168" s="478"/>
      <c r="E168" s="478"/>
      <c r="F168" s="478"/>
      <c r="G168" s="478"/>
      <c r="H168" s="478"/>
      <c r="I168" s="478"/>
    </row>
    <row r="169" spans="1:9" ht="20.25">
      <c r="A169" s="478"/>
      <c r="B169" s="478"/>
      <c r="C169" s="478"/>
      <c r="D169" s="478"/>
      <c r="E169" s="478"/>
      <c r="F169" s="478"/>
      <c r="G169" s="478"/>
      <c r="H169" s="478"/>
      <c r="I169" s="478"/>
    </row>
    <row r="170" spans="1:9" ht="20.25">
      <c r="A170" s="478"/>
      <c r="B170" s="478"/>
      <c r="C170" s="478"/>
      <c r="D170" s="478"/>
      <c r="E170" s="478"/>
      <c r="F170" s="478"/>
      <c r="G170" s="478"/>
      <c r="H170" s="478"/>
      <c r="I170" s="478"/>
    </row>
    <row r="171" spans="1:9" ht="20.25">
      <c r="A171" s="478"/>
      <c r="B171" s="478"/>
      <c r="C171" s="478"/>
      <c r="D171" s="478"/>
      <c r="E171" s="478"/>
      <c r="F171" s="478"/>
      <c r="G171" s="478"/>
      <c r="H171" s="478"/>
      <c r="I171" s="478"/>
    </row>
    <row r="172" spans="1:9" ht="20.25">
      <c r="A172" s="478"/>
      <c r="B172" s="478"/>
      <c r="C172" s="478"/>
      <c r="D172" s="478"/>
      <c r="E172" s="478"/>
      <c r="F172" s="478"/>
      <c r="G172" s="478"/>
      <c r="H172" s="478"/>
      <c r="I172" s="478"/>
    </row>
    <row r="173" spans="1:9" ht="20.25">
      <c r="A173" s="478"/>
      <c r="B173" s="478"/>
      <c r="C173" s="478"/>
      <c r="D173" s="478"/>
      <c r="E173" s="478"/>
      <c r="F173" s="478"/>
      <c r="G173" s="478"/>
      <c r="H173" s="478"/>
      <c r="I173" s="478"/>
    </row>
    <row r="174" spans="1:9" ht="20.25">
      <c r="A174" s="478"/>
      <c r="B174" s="478"/>
      <c r="C174" s="478"/>
      <c r="D174" s="478"/>
      <c r="E174" s="478"/>
      <c r="F174" s="478"/>
      <c r="G174" s="478"/>
      <c r="H174" s="478"/>
      <c r="I174" s="478"/>
    </row>
    <row r="175" spans="1:9" ht="20.25">
      <c r="A175" s="478"/>
      <c r="B175" s="478"/>
      <c r="C175" s="478"/>
      <c r="D175" s="478"/>
      <c r="E175" s="478"/>
      <c r="F175" s="478"/>
      <c r="G175" s="478"/>
      <c r="H175" s="478"/>
      <c r="I175" s="478"/>
    </row>
    <row r="176" spans="1:9" ht="20.25">
      <c r="A176" s="478"/>
      <c r="B176" s="478"/>
      <c r="C176" s="478"/>
      <c r="D176" s="478"/>
      <c r="E176" s="478"/>
      <c r="F176" s="478"/>
      <c r="G176" s="478"/>
      <c r="H176" s="478"/>
      <c r="I176" s="478"/>
    </row>
    <row r="177" spans="1:9" ht="20.25">
      <c r="A177" s="478"/>
      <c r="B177" s="478"/>
      <c r="C177" s="478"/>
      <c r="D177" s="478"/>
      <c r="E177" s="478"/>
      <c r="F177" s="478"/>
      <c r="G177" s="478"/>
      <c r="H177" s="478"/>
      <c r="I177" s="478"/>
    </row>
    <row r="178" spans="1:9" ht="20.25">
      <c r="A178" s="478"/>
      <c r="B178" s="478"/>
      <c r="C178" s="478"/>
      <c r="D178" s="478"/>
      <c r="E178" s="478"/>
      <c r="F178" s="478"/>
      <c r="G178" s="478"/>
      <c r="H178" s="478"/>
      <c r="I178" s="478"/>
    </row>
    <row r="179" spans="1:9" ht="20.25">
      <c r="A179" s="478"/>
      <c r="B179" s="478"/>
      <c r="C179" s="478"/>
      <c r="D179" s="478"/>
      <c r="E179" s="478"/>
      <c r="F179" s="478"/>
      <c r="G179" s="478"/>
      <c r="H179" s="478"/>
      <c r="I179" s="478"/>
    </row>
    <row r="180" spans="1:9" ht="20.25">
      <c r="A180" s="478"/>
      <c r="B180" s="478"/>
      <c r="C180" s="478"/>
      <c r="D180" s="478"/>
      <c r="E180" s="478"/>
      <c r="F180" s="478"/>
      <c r="G180" s="478"/>
      <c r="H180" s="478"/>
      <c r="I180" s="478"/>
    </row>
    <row r="181" spans="1:9" ht="20.25">
      <c r="A181" s="478"/>
      <c r="B181" s="478"/>
      <c r="C181" s="478"/>
      <c r="D181" s="478"/>
      <c r="E181" s="478"/>
      <c r="F181" s="478"/>
      <c r="G181" s="478"/>
      <c r="H181" s="478"/>
      <c r="I181" s="478"/>
    </row>
    <row r="182" spans="1:9" ht="20.25">
      <c r="A182" s="478"/>
      <c r="B182" s="478"/>
      <c r="C182" s="478"/>
      <c r="D182" s="478"/>
      <c r="E182" s="478"/>
      <c r="F182" s="478"/>
      <c r="G182" s="478"/>
      <c r="H182" s="478"/>
      <c r="I182" s="478"/>
    </row>
    <row r="183" spans="1:9" ht="20.25">
      <c r="A183" s="478"/>
      <c r="B183" s="478"/>
      <c r="C183" s="478"/>
      <c r="D183" s="478"/>
      <c r="E183" s="478"/>
      <c r="F183" s="478"/>
      <c r="G183" s="478"/>
      <c r="H183" s="478"/>
      <c r="I183" s="478"/>
    </row>
    <row r="184" spans="1:9" ht="20.25">
      <c r="A184" s="478"/>
      <c r="B184" s="478"/>
      <c r="C184" s="478"/>
      <c r="D184" s="478"/>
      <c r="E184" s="478"/>
      <c r="F184" s="478"/>
      <c r="G184" s="478"/>
      <c r="H184" s="478"/>
      <c r="I184" s="478"/>
    </row>
    <row r="185" spans="1:9" ht="20.25">
      <c r="A185" s="478"/>
      <c r="B185" s="478"/>
      <c r="C185" s="478"/>
      <c r="D185" s="478"/>
      <c r="E185" s="478"/>
      <c r="F185" s="478"/>
      <c r="G185" s="478"/>
      <c r="H185" s="478"/>
      <c r="I185" s="478"/>
    </row>
    <row r="186" spans="1:9" ht="20.25">
      <c r="A186" s="478"/>
      <c r="B186" s="478"/>
      <c r="C186" s="478"/>
      <c r="D186" s="478"/>
      <c r="E186" s="478"/>
      <c r="F186" s="478"/>
      <c r="G186" s="478"/>
      <c r="H186" s="478"/>
      <c r="I186" s="478"/>
    </row>
    <row r="187" spans="1:9" ht="20.25">
      <c r="A187" s="478"/>
      <c r="B187" s="478"/>
      <c r="C187" s="478"/>
      <c r="D187" s="478"/>
      <c r="E187" s="478"/>
      <c r="F187" s="478"/>
      <c r="G187" s="478"/>
      <c r="H187" s="478"/>
      <c r="I187" s="478"/>
    </row>
    <row r="188" spans="1:9" ht="20.25">
      <c r="A188" s="478"/>
      <c r="B188" s="478"/>
      <c r="C188" s="478"/>
      <c r="D188" s="478"/>
      <c r="E188" s="478"/>
      <c r="F188" s="478"/>
      <c r="G188" s="478"/>
      <c r="H188" s="478"/>
      <c r="I188" s="478"/>
    </row>
    <row r="189" spans="1:9" ht="20.25">
      <c r="A189" s="478"/>
      <c r="B189" s="478"/>
      <c r="C189" s="478"/>
      <c r="D189" s="478"/>
      <c r="E189" s="478"/>
      <c r="F189" s="478"/>
      <c r="G189" s="478"/>
      <c r="H189" s="478"/>
      <c r="I189" s="478"/>
    </row>
    <row r="190" spans="1:9" ht="20.25">
      <c r="A190" s="478"/>
      <c r="B190" s="478"/>
      <c r="C190" s="478"/>
      <c r="D190" s="478"/>
      <c r="E190" s="478"/>
      <c r="F190" s="478"/>
      <c r="G190" s="478"/>
      <c r="H190" s="478"/>
      <c r="I190" s="478"/>
    </row>
    <row r="191" spans="1:9" ht="20.25">
      <c r="A191" s="478"/>
      <c r="B191" s="478"/>
      <c r="C191" s="478"/>
      <c r="D191" s="478"/>
      <c r="E191" s="478"/>
      <c r="F191" s="478"/>
      <c r="G191" s="478"/>
      <c r="H191" s="478"/>
      <c r="I191" s="478"/>
    </row>
    <row r="192" spans="1:9" ht="20.25">
      <c r="A192" s="478"/>
      <c r="B192" s="478"/>
      <c r="C192" s="478"/>
      <c r="D192" s="478"/>
      <c r="E192" s="478"/>
      <c r="F192" s="478"/>
      <c r="G192" s="478"/>
      <c r="H192" s="478"/>
      <c r="I192" s="478"/>
    </row>
    <row r="193" spans="1:9" ht="20.25">
      <c r="A193" s="478"/>
      <c r="B193" s="478"/>
      <c r="C193" s="478"/>
      <c r="D193" s="478"/>
      <c r="E193" s="478"/>
      <c r="F193" s="478"/>
      <c r="G193" s="478"/>
      <c r="H193" s="478"/>
      <c r="I193" s="478"/>
    </row>
    <row r="194" spans="1:9" ht="20.25">
      <c r="A194" s="478"/>
      <c r="B194" s="478"/>
      <c r="C194" s="478"/>
      <c r="D194" s="478"/>
      <c r="E194" s="478"/>
      <c r="F194" s="478"/>
      <c r="G194" s="478"/>
      <c r="H194" s="478"/>
      <c r="I194" s="478"/>
    </row>
    <row r="195" spans="1:9" ht="20.25">
      <c r="A195" s="478"/>
      <c r="B195" s="478"/>
      <c r="C195" s="478"/>
      <c r="D195" s="478"/>
      <c r="E195" s="478"/>
      <c r="F195" s="478"/>
      <c r="G195" s="478"/>
      <c r="H195" s="478"/>
      <c r="I195" s="478"/>
    </row>
    <row r="196" spans="1:9" ht="20.25">
      <c r="A196" s="478"/>
      <c r="B196" s="478"/>
      <c r="C196" s="478"/>
      <c r="D196" s="478"/>
      <c r="E196" s="478"/>
      <c r="F196" s="478"/>
      <c r="G196" s="478"/>
      <c r="H196" s="478"/>
      <c r="I196" s="478"/>
    </row>
    <row r="197" spans="1:9" ht="20.25">
      <c r="A197" s="478"/>
      <c r="B197" s="478"/>
      <c r="C197" s="478"/>
      <c r="D197" s="478"/>
      <c r="E197" s="478"/>
      <c r="F197" s="478"/>
      <c r="G197" s="478"/>
      <c r="H197" s="478"/>
      <c r="I197" s="478"/>
    </row>
    <row r="198" spans="1:9" ht="20.25">
      <c r="A198" s="478"/>
      <c r="B198" s="478"/>
      <c r="C198" s="478"/>
      <c r="D198" s="478"/>
      <c r="E198" s="478"/>
      <c r="F198" s="478"/>
      <c r="G198" s="478"/>
      <c r="H198" s="478"/>
      <c r="I198" s="478"/>
    </row>
    <row r="199" spans="1:9" ht="20.25">
      <c r="A199" s="478"/>
      <c r="B199" s="478"/>
      <c r="C199" s="478"/>
      <c r="D199" s="478"/>
      <c r="E199" s="478"/>
      <c r="F199" s="478"/>
      <c r="G199" s="478"/>
      <c r="H199" s="478"/>
      <c r="I199" s="478"/>
    </row>
    <row r="200" spans="1:9" ht="20.25">
      <c r="A200" s="478"/>
      <c r="B200" s="478"/>
      <c r="C200" s="478"/>
      <c r="D200" s="478"/>
      <c r="E200" s="478"/>
      <c r="F200" s="478"/>
      <c r="G200" s="478"/>
      <c r="H200" s="478"/>
      <c r="I200" s="478"/>
    </row>
    <row r="201" spans="1:9" ht="20.25">
      <c r="A201" s="478"/>
      <c r="B201" s="478"/>
      <c r="C201" s="478"/>
      <c r="D201" s="478"/>
      <c r="E201" s="478"/>
      <c r="F201" s="478"/>
      <c r="G201" s="478"/>
      <c r="H201" s="478"/>
      <c r="I201" s="478"/>
    </row>
    <row r="202" spans="1:9" ht="20.25">
      <c r="A202" s="478"/>
      <c r="B202" s="478"/>
      <c r="C202" s="478"/>
      <c r="D202" s="478"/>
      <c r="E202" s="478"/>
      <c r="F202" s="478"/>
      <c r="G202" s="478"/>
      <c r="H202" s="478"/>
      <c r="I202" s="478"/>
    </row>
    <row r="203" spans="1:9" ht="20.25">
      <c r="A203" s="478"/>
      <c r="B203" s="478"/>
      <c r="C203" s="478"/>
      <c r="D203" s="478"/>
      <c r="E203" s="478"/>
      <c r="F203" s="478"/>
      <c r="G203" s="478"/>
      <c r="H203" s="478"/>
      <c r="I203" s="478"/>
    </row>
    <row r="204" spans="1:9" ht="20.25">
      <c r="A204" s="478"/>
      <c r="B204" s="478"/>
      <c r="C204" s="478"/>
      <c r="D204" s="478"/>
      <c r="E204" s="478"/>
      <c r="F204" s="478"/>
      <c r="G204" s="478"/>
      <c r="H204" s="478"/>
      <c r="I204" s="478"/>
    </row>
    <row r="205" spans="1:9" ht="20.25">
      <c r="A205" s="478"/>
      <c r="B205" s="478"/>
      <c r="C205" s="478"/>
      <c r="D205" s="478"/>
      <c r="E205" s="478"/>
      <c r="F205" s="478"/>
      <c r="G205" s="478"/>
      <c r="H205" s="478"/>
      <c r="I205" s="478"/>
    </row>
    <row r="206" spans="1:9" ht="20.25">
      <c r="A206" s="478"/>
      <c r="B206" s="478"/>
      <c r="C206" s="478"/>
      <c r="D206" s="478"/>
      <c r="E206" s="478"/>
      <c r="F206" s="478"/>
      <c r="G206" s="478"/>
      <c r="H206" s="478"/>
      <c r="I206" s="478"/>
    </row>
    <row r="207" spans="1:9" ht="20.25">
      <c r="A207" s="478"/>
      <c r="B207" s="478"/>
      <c r="C207" s="478"/>
      <c r="D207" s="478"/>
      <c r="E207" s="478"/>
      <c r="F207" s="478"/>
      <c r="G207" s="478"/>
      <c r="H207" s="478"/>
      <c r="I207" s="478"/>
    </row>
    <row r="208" spans="1:9" ht="20.25">
      <c r="A208" s="478"/>
      <c r="B208" s="478"/>
      <c r="C208" s="478"/>
      <c r="D208" s="478"/>
      <c r="E208" s="478"/>
      <c r="F208" s="478"/>
      <c r="G208" s="478"/>
      <c r="H208" s="478"/>
      <c r="I208" s="478"/>
    </row>
    <row r="209" spans="1:9" ht="20.25">
      <c r="A209" s="478"/>
      <c r="B209" s="478"/>
      <c r="C209" s="478"/>
      <c r="D209" s="478"/>
      <c r="E209" s="478"/>
      <c r="F209" s="478"/>
      <c r="G209" s="478"/>
      <c r="H209" s="478"/>
      <c r="I209" s="478"/>
    </row>
    <row r="210" spans="1:9" ht="20.25">
      <c r="A210" s="478"/>
      <c r="B210" s="478"/>
      <c r="C210" s="478"/>
      <c r="D210" s="478"/>
      <c r="E210" s="478"/>
      <c r="F210" s="478"/>
      <c r="G210" s="478"/>
      <c r="H210" s="478"/>
      <c r="I210" s="478"/>
    </row>
    <row r="211" spans="1:9" ht="20.25">
      <c r="A211" s="478"/>
      <c r="B211" s="478"/>
      <c r="C211" s="478"/>
      <c r="D211" s="478"/>
      <c r="E211" s="478"/>
      <c r="F211" s="478"/>
      <c r="G211" s="478"/>
      <c r="H211" s="478"/>
      <c r="I211" s="478"/>
    </row>
    <row r="212" spans="1:9" ht="20.25">
      <c r="A212" s="478"/>
      <c r="B212" s="478"/>
      <c r="C212" s="478"/>
      <c r="D212" s="478"/>
      <c r="E212" s="478"/>
      <c r="F212" s="478"/>
      <c r="G212" s="478"/>
      <c r="H212" s="478"/>
      <c r="I212" s="478"/>
    </row>
    <row r="213" spans="1:9" ht="20.25">
      <c r="A213" s="478"/>
      <c r="B213" s="478"/>
      <c r="C213" s="478"/>
      <c r="D213" s="478"/>
      <c r="E213" s="478"/>
      <c r="F213" s="478"/>
      <c r="G213" s="478"/>
      <c r="H213" s="478"/>
      <c r="I213" s="478"/>
    </row>
    <row r="214" spans="1:9" ht="20.25">
      <c r="A214" s="478"/>
      <c r="B214" s="478"/>
      <c r="C214" s="478"/>
      <c r="D214" s="478"/>
      <c r="E214" s="478"/>
      <c r="F214" s="478"/>
      <c r="G214" s="478"/>
      <c r="H214" s="478"/>
      <c r="I214" s="478"/>
    </row>
    <row r="215" spans="1:9" ht="20.25">
      <c r="A215" s="478"/>
      <c r="B215" s="478"/>
      <c r="C215" s="478"/>
      <c r="D215" s="478"/>
      <c r="E215" s="478"/>
      <c r="F215" s="478"/>
      <c r="G215" s="478"/>
      <c r="H215" s="478"/>
      <c r="I215" s="478"/>
    </row>
    <row r="216" spans="1:9" ht="20.25">
      <c r="A216" s="478"/>
      <c r="B216" s="478"/>
      <c r="C216" s="478"/>
      <c r="D216" s="478"/>
      <c r="E216" s="478"/>
      <c r="F216" s="478"/>
      <c r="G216" s="478"/>
      <c r="H216" s="478"/>
      <c r="I216" s="478"/>
    </row>
    <row r="217" spans="1:9" ht="20.25">
      <c r="A217" s="478"/>
      <c r="B217" s="478"/>
      <c r="C217" s="478"/>
      <c r="D217" s="478"/>
      <c r="E217" s="478"/>
      <c r="F217" s="478"/>
      <c r="G217" s="478"/>
      <c r="H217" s="478"/>
      <c r="I217" s="478"/>
    </row>
    <row r="218" spans="1:9" ht="20.25">
      <c r="A218" s="478"/>
      <c r="B218" s="478"/>
      <c r="C218" s="478"/>
      <c r="D218" s="478"/>
      <c r="E218" s="478"/>
      <c r="F218" s="478"/>
      <c r="G218" s="478"/>
      <c r="H218" s="478"/>
      <c r="I218" s="478"/>
    </row>
    <row r="219" spans="1:9" ht="20.25">
      <c r="A219" s="478"/>
      <c r="B219" s="478"/>
      <c r="C219" s="478"/>
      <c r="D219" s="478"/>
      <c r="E219" s="478"/>
      <c r="F219" s="478"/>
      <c r="G219" s="478"/>
      <c r="H219" s="478"/>
      <c r="I219" s="478"/>
    </row>
    <row r="220" spans="1:9" ht="20.25">
      <c r="A220" s="478"/>
      <c r="B220" s="478"/>
      <c r="C220" s="478"/>
      <c r="D220" s="478"/>
      <c r="E220" s="478"/>
      <c r="F220" s="478"/>
      <c r="G220" s="478"/>
      <c r="H220" s="478"/>
      <c r="I220" s="478"/>
    </row>
    <row r="221" spans="1:9" ht="20.25">
      <c r="A221" s="478"/>
      <c r="B221" s="478"/>
      <c r="C221" s="478"/>
      <c r="D221" s="478"/>
      <c r="E221" s="478"/>
      <c r="F221" s="478"/>
      <c r="G221" s="478"/>
      <c r="H221" s="478"/>
      <c r="I221" s="478"/>
    </row>
    <row r="222" spans="1:9" ht="20.25">
      <c r="A222" s="478"/>
      <c r="B222" s="478"/>
      <c r="C222" s="478"/>
      <c r="D222" s="478"/>
      <c r="E222" s="478"/>
      <c r="F222" s="478"/>
      <c r="G222" s="478"/>
      <c r="H222" s="478"/>
      <c r="I222" s="478"/>
    </row>
    <row r="223" spans="1:9" ht="20.25">
      <c r="A223" s="478"/>
      <c r="B223" s="478"/>
      <c r="C223" s="478"/>
      <c r="D223" s="478"/>
      <c r="E223" s="478"/>
      <c r="F223" s="478"/>
      <c r="G223" s="478"/>
      <c r="H223" s="478"/>
      <c r="I223" s="478"/>
    </row>
    <row r="224" spans="1:9" ht="20.25">
      <c r="A224" s="478"/>
      <c r="B224" s="478"/>
      <c r="C224" s="478"/>
      <c r="D224" s="478"/>
      <c r="E224" s="478"/>
      <c r="F224" s="478"/>
      <c r="G224" s="478"/>
      <c r="H224" s="478"/>
      <c r="I224" s="478"/>
    </row>
    <row r="225" spans="1:9" ht="20.25">
      <c r="A225" s="478"/>
      <c r="B225" s="478"/>
      <c r="C225" s="478"/>
      <c r="D225" s="478"/>
      <c r="E225" s="478"/>
      <c r="F225" s="478"/>
      <c r="G225" s="478"/>
      <c r="H225" s="478"/>
      <c r="I225" s="478"/>
    </row>
    <row r="226" spans="1:9" ht="20.25">
      <c r="A226" s="478"/>
      <c r="B226" s="478"/>
      <c r="C226" s="478"/>
      <c r="D226" s="478"/>
      <c r="E226" s="478"/>
      <c r="F226" s="478"/>
      <c r="G226" s="478"/>
      <c r="H226" s="478"/>
      <c r="I226" s="478"/>
    </row>
    <row r="227" spans="1:9" ht="20.25">
      <c r="A227" s="478"/>
      <c r="B227" s="478"/>
      <c r="C227" s="478"/>
      <c r="D227" s="478"/>
      <c r="E227" s="478"/>
      <c r="F227" s="478"/>
      <c r="G227" s="478"/>
      <c r="H227" s="478"/>
      <c r="I227" s="478"/>
    </row>
    <row r="228" spans="1:9" ht="20.25">
      <c r="A228" s="478"/>
      <c r="B228" s="478"/>
      <c r="C228" s="478"/>
      <c r="D228" s="478"/>
      <c r="E228" s="478"/>
      <c r="F228" s="478"/>
      <c r="G228" s="478"/>
      <c r="H228" s="478"/>
      <c r="I228" s="478"/>
    </row>
    <row r="229" spans="1:9" ht="20.25">
      <c r="A229" s="478"/>
      <c r="B229" s="478"/>
      <c r="C229" s="478"/>
      <c r="D229" s="478"/>
      <c r="E229" s="478"/>
      <c r="F229" s="478"/>
      <c r="G229" s="478"/>
      <c r="H229" s="478"/>
      <c r="I229" s="478"/>
    </row>
    <row r="230" spans="1:9" ht="20.25">
      <c r="A230" s="478"/>
      <c r="B230" s="478"/>
      <c r="C230" s="478"/>
      <c r="D230" s="478"/>
      <c r="E230" s="478"/>
      <c r="F230" s="478"/>
      <c r="G230" s="478"/>
      <c r="H230" s="478"/>
      <c r="I230" s="478"/>
    </row>
    <row r="231" spans="1:9" ht="20.25">
      <c r="A231" s="478"/>
      <c r="B231" s="478"/>
      <c r="C231" s="478"/>
      <c r="D231" s="478"/>
      <c r="E231" s="478"/>
      <c r="F231" s="478"/>
      <c r="G231" s="478"/>
      <c r="H231" s="478"/>
      <c r="I231" s="478"/>
    </row>
    <row r="232" spans="1:9" ht="20.25">
      <c r="A232" s="478"/>
      <c r="B232" s="478"/>
      <c r="C232" s="478"/>
      <c r="D232" s="478"/>
      <c r="E232" s="478"/>
      <c r="F232" s="478"/>
      <c r="G232" s="478"/>
      <c r="H232" s="478"/>
      <c r="I232" s="478"/>
    </row>
    <row r="233" spans="1:9" ht="20.25">
      <c r="A233" s="478"/>
      <c r="B233" s="478"/>
      <c r="C233" s="478"/>
      <c r="D233" s="478"/>
      <c r="E233" s="478"/>
      <c r="F233" s="478"/>
      <c r="G233" s="478"/>
      <c r="H233" s="478"/>
      <c r="I233" s="478"/>
    </row>
    <row r="234" spans="1:9" ht="20.25">
      <c r="A234" s="478"/>
      <c r="B234" s="478"/>
      <c r="C234" s="478"/>
      <c r="D234" s="478"/>
      <c r="E234" s="478"/>
      <c r="F234" s="478"/>
      <c r="G234" s="478"/>
      <c r="H234" s="478"/>
      <c r="I234" s="478"/>
    </row>
    <row r="235" spans="1:9" ht="20.25">
      <c r="A235" s="478"/>
      <c r="B235" s="478"/>
      <c r="C235" s="478"/>
      <c r="D235" s="478"/>
      <c r="E235" s="478"/>
      <c r="F235" s="478"/>
      <c r="G235" s="478"/>
      <c r="H235" s="478"/>
      <c r="I235" s="478"/>
    </row>
    <row r="236" spans="1:9" ht="20.25">
      <c r="A236" s="478"/>
      <c r="B236" s="478"/>
      <c r="C236" s="478"/>
      <c r="D236" s="478"/>
      <c r="E236" s="478"/>
      <c r="F236" s="478"/>
      <c r="G236" s="478"/>
      <c r="H236" s="478"/>
      <c r="I236" s="478"/>
    </row>
    <row r="237" spans="1:9" ht="20.25">
      <c r="A237" s="478"/>
      <c r="B237" s="478"/>
      <c r="C237" s="478"/>
      <c r="D237" s="478"/>
      <c r="E237" s="478"/>
      <c r="F237" s="478"/>
      <c r="G237" s="478"/>
      <c r="H237" s="478"/>
      <c r="I237" s="478"/>
    </row>
    <row r="238" spans="1:9" ht="20.25">
      <c r="A238" s="478"/>
      <c r="B238" s="478"/>
      <c r="C238" s="478"/>
      <c r="D238" s="478"/>
      <c r="E238" s="478"/>
      <c r="F238" s="478"/>
      <c r="G238" s="478"/>
      <c r="H238" s="478"/>
      <c r="I238" s="478"/>
    </row>
    <row r="239" spans="1:9" ht="20.25">
      <c r="A239" s="478"/>
      <c r="B239" s="478"/>
      <c r="C239" s="478"/>
      <c r="D239" s="478"/>
      <c r="E239" s="478"/>
      <c r="F239" s="478"/>
      <c r="G239" s="478"/>
      <c r="H239" s="478"/>
      <c r="I239" s="478"/>
    </row>
    <row r="240" spans="1:9" ht="20.25">
      <c r="A240" s="478"/>
      <c r="B240" s="478"/>
      <c r="C240" s="478"/>
      <c r="D240" s="478"/>
      <c r="E240" s="478"/>
      <c r="F240" s="478"/>
      <c r="G240" s="478"/>
      <c r="H240" s="478"/>
      <c r="I240" s="478"/>
    </row>
    <row r="241" spans="1:9" ht="20.25">
      <c r="A241" s="478"/>
      <c r="B241" s="478"/>
      <c r="C241" s="478"/>
      <c r="D241" s="478"/>
      <c r="E241" s="478"/>
      <c r="F241" s="478"/>
      <c r="G241" s="478"/>
      <c r="H241" s="478"/>
      <c r="I241" s="478"/>
    </row>
    <row r="242" spans="1:9" ht="20.25">
      <c r="A242" s="478"/>
      <c r="B242" s="478"/>
      <c r="C242" s="478"/>
      <c r="D242" s="478"/>
      <c r="E242" s="478"/>
      <c r="F242" s="478"/>
      <c r="G242" s="478"/>
      <c r="H242" s="478"/>
      <c r="I242" s="478"/>
    </row>
    <row r="243" spans="1:9" ht="20.25">
      <c r="A243" s="478"/>
      <c r="B243" s="478"/>
      <c r="C243" s="478"/>
      <c r="D243" s="478"/>
      <c r="E243" s="478"/>
      <c r="F243" s="478"/>
      <c r="G243" s="478"/>
      <c r="H243" s="478"/>
      <c r="I243" s="478"/>
    </row>
    <row r="244" spans="1:9" ht="20.25">
      <c r="A244" s="478"/>
      <c r="B244" s="478"/>
      <c r="C244" s="478"/>
      <c r="D244" s="478"/>
      <c r="E244" s="478"/>
      <c r="F244" s="478"/>
      <c r="G244" s="478"/>
      <c r="H244" s="478"/>
      <c r="I244" s="478"/>
    </row>
    <row r="245" spans="1:9" ht="20.25">
      <c r="A245" s="478"/>
      <c r="B245" s="478"/>
      <c r="C245" s="478"/>
      <c r="D245" s="478"/>
      <c r="E245" s="478"/>
      <c r="F245" s="478"/>
      <c r="G245" s="478"/>
      <c r="H245" s="478"/>
      <c r="I245" s="478"/>
    </row>
    <row r="246" spans="1:9" ht="20.25">
      <c r="A246" s="478"/>
      <c r="B246" s="478"/>
      <c r="C246" s="478"/>
      <c r="D246" s="478"/>
      <c r="E246" s="478"/>
      <c r="F246" s="478"/>
      <c r="G246" s="478"/>
      <c r="H246" s="478"/>
      <c r="I246" s="478"/>
    </row>
    <row r="247" spans="1:9" ht="20.25">
      <c r="A247" s="478"/>
      <c r="B247" s="478"/>
      <c r="C247" s="478"/>
      <c r="D247" s="478"/>
      <c r="E247" s="478"/>
      <c r="F247" s="478"/>
      <c r="G247" s="478"/>
      <c r="H247" s="478"/>
      <c r="I247" s="478"/>
    </row>
    <row r="248" spans="1:9" ht="20.25">
      <c r="A248" s="478"/>
      <c r="B248" s="478"/>
      <c r="C248" s="478"/>
      <c r="D248" s="478"/>
      <c r="E248" s="478"/>
      <c r="F248" s="478"/>
      <c r="G248" s="478"/>
      <c r="H248" s="478"/>
      <c r="I248" s="478"/>
    </row>
    <row r="249" spans="1:9" ht="20.25">
      <c r="A249" s="478"/>
      <c r="B249" s="478"/>
      <c r="C249" s="478"/>
      <c r="D249" s="478"/>
      <c r="E249" s="478"/>
      <c r="F249" s="478"/>
      <c r="G249" s="478"/>
      <c r="H249" s="478"/>
      <c r="I249" s="478"/>
    </row>
    <row r="250" spans="1:9" ht="20.25">
      <c r="A250" s="478"/>
      <c r="B250" s="478"/>
      <c r="C250" s="478"/>
      <c r="D250" s="478"/>
      <c r="E250" s="478"/>
      <c r="F250" s="478"/>
      <c r="G250" s="478"/>
      <c r="H250" s="478"/>
      <c r="I250" s="478"/>
    </row>
    <row r="251" spans="1:9" ht="20.25">
      <c r="A251" s="478"/>
      <c r="B251" s="478"/>
      <c r="C251" s="478"/>
      <c r="D251" s="478"/>
      <c r="E251" s="478"/>
      <c r="F251" s="478"/>
      <c r="G251" s="478"/>
      <c r="H251" s="478"/>
      <c r="I251" s="478"/>
    </row>
    <row r="252" spans="1:9" ht="20.25">
      <c r="A252" s="478"/>
      <c r="B252" s="478"/>
      <c r="C252" s="478"/>
      <c r="D252" s="478"/>
      <c r="E252" s="478"/>
      <c r="F252" s="478"/>
      <c r="G252" s="478"/>
      <c r="H252" s="478"/>
      <c r="I252" s="478"/>
    </row>
    <row r="253" spans="1:9" ht="20.25">
      <c r="A253" s="478"/>
      <c r="B253" s="478"/>
      <c r="C253" s="478"/>
      <c r="D253" s="478"/>
      <c r="E253" s="478"/>
      <c r="F253" s="478"/>
      <c r="G253" s="478"/>
      <c r="H253" s="478"/>
      <c r="I253" s="478"/>
    </row>
    <row r="254" spans="1:9" ht="20.25">
      <c r="A254" s="478"/>
      <c r="B254" s="478"/>
      <c r="C254" s="478"/>
      <c r="D254" s="478"/>
      <c r="E254" s="478"/>
      <c r="F254" s="478"/>
      <c r="G254" s="478"/>
      <c r="H254" s="478"/>
      <c r="I254" s="478"/>
    </row>
    <row r="255" spans="1:9" ht="20.25">
      <c r="A255" s="478"/>
      <c r="B255" s="478"/>
      <c r="C255" s="478"/>
      <c r="D255" s="478"/>
      <c r="E255" s="478"/>
      <c r="F255" s="478"/>
      <c r="G255" s="478"/>
      <c r="H255" s="478"/>
      <c r="I255" s="478"/>
    </row>
    <row r="256" spans="1:9" ht="20.25">
      <c r="A256" s="478"/>
      <c r="B256" s="478"/>
      <c r="C256" s="478"/>
      <c r="D256" s="478"/>
      <c r="E256" s="478"/>
      <c r="F256" s="478"/>
      <c r="G256" s="478"/>
      <c r="H256" s="478"/>
      <c r="I256" s="478"/>
    </row>
    <row r="257" spans="1:9" ht="20.25">
      <c r="A257" s="478"/>
      <c r="B257" s="478"/>
      <c r="C257" s="478"/>
      <c r="D257" s="478"/>
      <c r="E257" s="478"/>
      <c r="F257" s="478"/>
      <c r="G257" s="478"/>
      <c r="H257" s="478"/>
      <c r="I257" s="478"/>
    </row>
    <row r="258" spans="1:9" ht="20.25">
      <c r="A258" s="478"/>
      <c r="B258" s="478"/>
      <c r="C258" s="478"/>
      <c r="D258" s="478"/>
      <c r="E258" s="478"/>
      <c r="F258" s="478"/>
      <c r="G258" s="478"/>
      <c r="H258" s="478"/>
      <c r="I258" s="478"/>
    </row>
    <row r="259" spans="1:9" ht="20.25">
      <c r="A259" s="478"/>
      <c r="B259" s="478"/>
      <c r="C259" s="478"/>
      <c r="D259" s="478"/>
      <c r="E259" s="478"/>
      <c r="F259" s="478"/>
      <c r="G259" s="478"/>
      <c r="H259" s="478"/>
      <c r="I259" s="478"/>
    </row>
    <row r="260" spans="1:9" ht="20.25">
      <c r="A260" s="478"/>
      <c r="B260" s="478"/>
      <c r="C260" s="478"/>
      <c r="D260" s="478"/>
      <c r="E260" s="478"/>
      <c r="F260" s="478"/>
      <c r="G260" s="478"/>
      <c r="H260" s="478"/>
      <c r="I260" s="478"/>
    </row>
    <row r="261" spans="1:9" ht="20.25">
      <c r="A261" s="478"/>
      <c r="B261" s="478"/>
      <c r="C261" s="478"/>
      <c r="D261" s="478"/>
      <c r="E261" s="478"/>
      <c r="F261" s="478"/>
      <c r="G261" s="478"/>
      <c r="H261" s="478"/>
      <c r="I261" s="478"/>
    </row>
    <row r="262" spans="1:9" ht="20.25">
      <c r="A262" s="478"/>
      <c r="B262" s="478"/>
      <c r="C262" s="478"/>
      <c r="D262" s="478"/>
      <c r="E262" s="478"/>
      <c r="F262" s="478"/>
      <c r="G262" s="478"/>
      <c r="H262" s="478"/>
      <c r="I262" s="478"/>
    </row>
    <row r="263" spans="1:9" ht="20.25">
      <c r="A263" s="478"/>
      <c r="B263" s="478"/>
      <c r="C263" s="478"/>
      <c r="D263" s="478"/>
      <c r="E263" s="478"/>
      <c r="F263" s="478"/>
      <c r="G263" s="478"/>
      <c r="H263" s="478"/>
      <c r="I263" s="478"/>
    </row>
    <row r="264" spans="1:9" ht="20.25">
      <c r="A264" s="478"/>
      <c r="B264" s="478"/>
      <c r="C264" s="478"/>
      <c r="D264" s="478"/>
      <c r="E264" s="478"/>
      <c r="F264" s="478"/>
      <c r="G264" s="478"/>
      <c r="H264" s="478"/>
      <c r="I264" s="478"/>
    </row>
    <row r="265" spans="1:9" ht="20.25">
      <c r="A265" s="478"/>
      <c r="B265" s="478"/>
      <c r="C265" s="478"/>
      <c r="D265" s="478"/>
      <c r="E265" s="478"/>
      <c r="F265" s="478"/>
      <c r="G265" s="478"/>
      <c r="H265" s="478"/>
      <c r="I265" s="478"/>
    </row>
    <row r="266" spans="1:9" ht="20.25">
      <c r="A266" s="478"/>
      <c r="B266" s="478"/>
      <c r="C266" s="478"/>
      <c r="D266" s="478"/>
      <c r="E266" s="478"/>
      <c r="F266" s="478"/>
      <c r="G266" s="478"/>
      <c r="H266" s="478"/>
      <c r="I266" s="478"/>
    </row>
    <row r="267" spans="1:9" ht="20.25">
      <c r="A267" s="478"/>
      <c r="B267" s="478"/>
      <c r="C267" s="478"/>
      <c r="D267" s="478"/>
      <c r="E267" s="478"/>
      <c r="F267" s="478"/>
      <c r="G267" s="478"/>
      <c r="H267" s="478"/>
      <c r="I267" s="478"/>
    </row>
    <row r="268" spans="1:9" ht="20.25">
      <c r="A268" s="478"/>
      <c r="B268" s="478"/>
      <c r="C268" s="478"/>
      <c r="D268" s="478"/>
      <c r="E268" s="478"/>
      <c r="F268" s="478"/>
      <c r="G268" s="478"/>
      <c r="H268" s="478"/>
      <c r="I268" s="478"/>
    </row>
    <row r="269" spans="1:9" ht="20.25">
      <c r="A269" s="478"/>
      <c r="B269" s="478"/>
      <c r="C269" s="478"/>
      <c r="D269" s="478"/>
      <c r="E269" s="478"/>
      <c r="F269" s="478"/>
      <c r="G269" s="478"/>
      <c r="H269" s="478"/>
      <c r="I269" s="478"/>
    </row>
    <row r="270" spans="1:9" ht="20.25">
      <c r="A270" s="478"/>
      <c r="B270" s="478"/>
      <c r="C270" s="478"/>
      <c r="D270" s="478"/>
      <c r="E270" s="478"/>
      <c r="F270" s="478"/>
      <c r="G270" s="478"/>
      <c r="H270" s="478"/>
      <c r="I270" s="478"/>
    </row>
    <row r="271" spans="1:9" ht="20.25">
      <c r="A271" s="478"/>
      <c r="B271" s="478"/>
      <c r="C271" s="478"/>
      <c r="D271" s="478"/>
      <c r="E271" s="478"/>
      <c r="F271" s="478"/>
      <c r="G271" s="478"/>
      <c r="H271" s="478"/>
      <c r="I271" s="478"/>
    </row>
    <row r="272" spans="1:9" ht="20.25">
      <c r="A272" s="478"/>
      <c r="B272" s="478"/>
      <c r="C272" s="478"/>
      <c r="D272" s="478"/>
      <c r="E272" s="478"/>
      <c r="F272" s="478"/>
      <c r="G272" s="478"/>
      <c r="H272" s="478"/>
      <c r="I272" s="478"/>
    </row>
    <row r="273" spans="1:9" ht="20.25">
      <c r="A273" s="478"/>
      <c r="B273" s="478"/>
      <c r="C273" s="478"/>
      <c r="D273" s="478"/>
      <c r="E273" s="478"/>
      <c r="F273" s="478"/>
      <c r="G273" s="478"/>
      <c r="H273" s="478"/>
      <c r="I273" s="478"/>
    </row>
    <row r="274" spans="1:9" ht="20.25">
      <c r="A274" s="478"/>
      <c r="B274" s="478"/>
      <c r="C274" s="478"/>
      <c r="D274" s="478"/>
      <c r="E274" s="478"/>
      <c r="F274" s="478"/>
      <c r="G274" s="478"/>
      <c r="H274" s="478"/>
      <c r="I274" s="478"/>
    </row>
    <row r="275" spans="1:9" ht="20.25">
      <c r="A275" s="478"/>
      <c r="B275" s="478"/>
      <c r="C275" s="478"/>
      <c r="D275" s="478"/>
      <c r="E275" s="478"/>
      <c r="F275" s="478"/>
      <c r="G275" s="478"/>
      <c r="H275" s="478"/>
      <c r="I275" s="478"/>
    </row>
    <row r="276" spans="1:9" ht="20.25">
      <c r="A276" s="478"/>
      <c r="B276" s="478"/>
      <c r="C276" s="478"/>
      <c r="D276" s="478"/>
      <c r="E276" s="478"/>
      <c r="F276" s="478"/>
      <c r="G276" s="478"/>
      <c r="H276" s="478"/>
      <c r="I276" s="478"/>
    </row>
    <row r="277" spans="1:9" ht="20.25">
      <c r="A277" s="478"/>
      <c r="B277" s="478"/>
      <c r="C277" s="478"/>
      <c r="D277" s="478"/>
      <c r="E277" s="478"/>
      <c r="F277" s="478"/>
      <c r="G277" s="478"/>
      <c r="H277" s="478"/>
      <c r="I277" s="478"/>
    </row>
    <row r="278" spans="1:9" ht="20.25">
      <c r="A278" s="478"/>
      <c r="B278" s="478"/>
      <c r="C278" s="478"/>
      <c r="D278" s="478"/>
      <c r="E278" s="478"/>
      <c r="F278" s="478"/>
      <c r="G278" s="478"/>
      <c r="H278" s="478"/>
      <c r="I278" s="478"/>
    </row>
    <row r="279" spans="1:9" ht="20.25">
      <c r="A279" s="478"/>
      <c r="B279" s="478"/>
      <c r="C279" s="478"/>
      <c r="D279" s="478"/>
      <c r="E279" s="478"/>
      <c r="F279" s="478"/>
      <c r="G279" s="478"/>
      <c r="H279" s="478"/>
      <c r="I279" s="478"/>
    </row>
    <row r="280" spans="1:9" ht="20.25">
      <c r="A280" s="478"/>
      <c r="B280" s="478"/>
      <c r="C280" s="478"/>
      <c r="D280" s="478"/>
      <c r="E280" s="478"/>
      <c r="F280" s="478"/>
      <c r="G280" s="478"/>
      <c r="H280" s="478"/>
      <c r="I280" s="478"/>
    </row>
    <row r="281" spans="1:9" ht="20.25">
      <c r="A281" s="478"/>
      <c r="B281" s="478"/>
      <c r="C281" s="478"/>
      <c r="D281" s="478"/>
      <c r="E281" s="478"/>
      <c r="F281" s="478"/>
      <c r="G281" s="478"/>
      <c r="H281" s="478"/>
      <c r="I281" s="478"/>
    </row>
    <row r="282" spans="1:9" ht="20.25">
      <c r="A282" s="478"/>
      <c r="B282" s="478"/>
      <c r="C282" s="478"/>
      <c r="D282" s="478"/>
      <c r="E282" s="478"/>
      <c r="F282" s="478"/>
      <c r="G282" s="478"/>
      <c r="H282" s="478"/>
      <c r="I282" s="478"/>
    </row>
    <row r="283" spans="1:9" ht="20.25">
      <c r="A283" s="478"/>
      <c r="B283" s="478"/>
      <c r="C283" s="478"/>
      <c r="D283" s="478"/>
      <c r="E283" s="478"/>
      <c r="F283" s="478"/>
      <c r="G283" s="478"/>
      <c r="H283" s="478"/>
      <c r="I283" s="478"/>
    </row>
    <row r="284" spans="1:9" ht="20.25">
      <c r="A284" s="478"/>
      <c r="B284" s="478"/>
      <c r="C284" s="478"/>
      <c r="D284" s="478"/>
      <c r="E284" s="478"/>
      <c r="F284" s="478"/>
      <c r="G284" s="478"/>
      <c r="H284" s="478"/>
      <c r="I284" s="478"/>
    </row>
    <row r="285" spans="1:9" ht="20.25">
      <c r="A285" s="478"/>
      <c r="B285" s="478"/>
      <c r="C285" s="478"/>
      <c r="D285" s="478"/>
      <c r="E285" s="478"/>
      <c r="F285" s="478"/>
      <c r="G285" s="478"/>
      <c r="H285" s="478"/>
      <c r="I285" s="478"/>
    </row>
    <row r="286" spans="1:9" ht="20.25">
      <c r="A286" s="478"/>
      <c r="B286" s="478"/>
      <c r="C286" s="478"/>
      <c r="D286" s="478"/>
      <c r="E286" s="478"/>
      <c r="F286" s="478"/>
      <c r="G286" s="478"/>
      <c r="H286" s="478"/>
      <c r="I286" s="478"/>
    </row>
    <row r="287" spans="1:9" ht="20.25">
      <c r="A287" s="478"/>
      <c r="B287" s="478"/>
      <c r="C287" s="478"/>
      <c r="D287" s="478"/>
      <c r="E287" s="478"/>
      <c r="F287" s="478"/>
      <c r="G287" s="478"/>
      <c r="H287" s="478"/>
      <c r="I287" s="478"/>
    </row>
    <row r="288" spans="1:9" ht="20.25">
      <c r="A288" s="478"/>
      <c r="B288" s="478"/>
      <c r="C288" s="478"/>
      <c r="D288" s="478"/>
      <c r="E288" s="478"/>
      <c r="F288" s="478"/>
      <c r="G288" s="478"/>
      <c r="H288" s="478"/>
      <c r="I288" s="478"/>
    </row>
    <row r="289" spans="1:9" ht="20.25">
      <c r="A289" s="478"/>
      <c r="B289" s="478"/>
      <c r="C289" s="478"/>
      <c r="D289" s="478"/>
      <c r="E289" s="478"/>
      <c r="F289" s="478"/>
      <c r="G289" s="478"/>
      <c r="H289" s="478"/>
      <c r="I289" s="478"/>
    </row>
    <row r="290" spans="1:9" ht="20.25">
      <c r="A290" s="478"/>
      <c r="B290" s="478"/>
      <c r="C290" s="478"/>
      <c r="D290" s="478"/>
      <c r="E290" s="478"/>
      <c r="F290" s="478"/>
      <c r="G290" s="478"/>
      <c r="H290" s="478"/>
      <c r="I290" s="478"/>
    </row>
    <row r="291" spans="1:9" ht="20.25">
      <c r="A291" s="478"/>
      <c r="B291" s="478"/>
      <c r="C291" s="478"/>
      <c r="D291" s="478"/>
      <c r="E291" s="478"/>
      <c r="F291" s="478"/>
      <c r="G291" s="478"/>
      <c r="H291" s="478"/>
      <c r="I291" s="478"/>
    </row>
    <row r="292" spans="1:9" ht="20.25">
      <c r="A292" s="478"/>
      <c r="B292" s="478"/>
      <c r="C292" s="478"/>
      <c r="D292" s="478"/>
      <c r="E292" s="478"/>
      <c r="F292" s="478"/>
      <c r="G292" s="478"/>
      <c r="H292" s="478"/>
      <c r="I292" s="478"/>
    </row>
    <row r="293" spans="1:9" ht="20.25">
      <c r="A293" s="478"/>
      <c r="B293" s="478"/>
      <c r="C293" s="478"/>
      <c r="D293" s="478"/>
      <c r="E293" s="478"/>
      <c r="F293" s="478"/>
      <c r="G293" s="478"/>
      <c r="H293" s="478"/>
      <c r="I293" s="478"/>
    </row>
    <row r="294" spans="1:9" ht="20.25">
      <c r="A294" s="478"/>
      <c r="B294" s="478"/>
      <c r="C294" s="478"/>
      <c r="D294" s="478"/>
      <c r="E294" s="478"/>
      <c r="F294" s="478"/>
      <c r="G294" s="478"/>
      <c r="H294" s="478"/>
      <c r="I294" s="478"/>
    </row>
    <row r="295" spans="1:9" ht="20.25">
      <c r="A295" s="478"/>
      <c r="B295" s="478"/>
      <c r="C295" s="478"/>
      <c r="D295" s="478"/>
      <c r="E295" s="478"/>
      <c r="F295" s="478"/>
      <c r="G295" s="478"/>
      <c r="H295" s="478"/>
      <c r="I295" s="478"/>
    </row>
    <row r="296" spans="1:9" ht="20.25">
      <c r="A296" s="478"/>
      <c r="B296" s="478"/>
      <c r="C296" s="478"/>
      <c r="D296" s="478"/>
      <c r="E296" s="478"/>
      <c r="F296" s="478"/>
      <c r="G296" s="478"/>
      <c r="H296" s="478"/>
      <c r="I296" s="478"/>
    </row>
    <row r="297" spans="1:9" ht="20.25">
      <c r="A297" s="478"/>
      <c r="B297" s="478"/>
      <c r="C297" s="478"/>
      <c r="D297" s="478"/>
      <c r="E297" s="478"/>
      <c r="F297" s="478"/>
      <c r="G297" s="478"/>
      <c r="H297" s="478"/>
      <c r="I297" s="478"/>
    </row>
    <row r="298" spans="1:9" ht="20.25">
      <c r="A298" s="478"/>
      <c r="B298" s="478"/>
      <c r="C298" s="478"/>
      <c r="D298" s="478"/>
      <c r="E298" s="478"/>
      <c r="F298" s="478"/>
      <c r="G298" s="478"/>
      <c r="H298" s="478"/>
      <c r="I298" s="478"/>
    </row>
    <row r="299" spans="1:9" ht="20.25">
      <c r="A299" s="478"/>
      <c r="B299" s="478"/>
      <c r="C299" s="478"/>
      <c r="D299" s="478"/>
      <c r="E299" s="478"/>
      <c r="F299" s="478"/>
      <c r="G299" s="478"/>
      <c r="H299" s="478"/>
      <c r="I299" s="478"/>
    </row>
    <row r="300" spans="1:9" ht="20.25">
      <c r="A300" s="478"/>
      <c r="B300" s="478"/>
      <c r="C300" s="478"/>
      <c r="D300" s="478"/>
      <c r="E300" s="478"/>
      <c r="F300" s="478"/>
      <c r="G300" s="478"/>
      <c r="H300" s="478"/>
      <c r="I300" s="478"/>
    </row>
    <row r="301" spans="1:9" ht="20.25">
      <c r="A301" s="478"/>
      <c r="B301" s="478"/>
      <c r="C301" s="478"/>
      <c r="D301" s="478"/>
      <c r="E301" s="478"/>
      <c r="F301" s="478"/>
      <c r="G301" s="478"/>
      <c r="H301" s="478"/>
      <c r="I301" s="478"/>
    </row>
    <row r="302" spans="1:9" ht="20.25">
      <c r="A302" s="478"/>
      <c r="B302" s="478"/>
      <c r="C302" s="478"/>
      <c r="D302" s="478"/>
      <c r="E302" s="478"/>
      <c r="F302" s="478"/>
      <c r="G302" s="478"/>
      <c r="H302" s="478"/>
      <c r="I302" s="478"/>
    </row>
    <row r="303" spans="1:9" ht="20.25">
      <c r="A303" s="478"/>
      <c r="B303" s="478"/>
      <c r="C303" s="478"/>
      <c r="D303" s="478"/>
      <c r="E303" s="478"/>
      <c r="F303" s="478"/>
      <c r="G303" s="478"/>
      <c r="H303" s="478"/>
      <c r="I303" s="478"/>
    </row>
    <row r="304" spans="1:9" ht="20.25">
      <c r="A304" s="478"/>
      <c r="B304" s="478"/>
      <c r="C304" s="478"/>
      <c r="D304" s="478"/>
      <c r="E304" s="478"/>
      <c r="F304" s="478"/>
      <c r="G304" s="478"/>
      <c r="H304" s="478"/>
      <c r="I304" s="478"/>
    </row>
    <row r="305" spans="1:9" ht="20.25">
      <c r="A305" s="478"/>
      <c r="B305" s="478"/>
      <c r="C305" s="478"/>
      <c r="D305" s="478"/>
      <c r="E305" s="478"/>
      <c r="F305" s="478"/>
      <c r="G305" s="478"/>
      <c r="H305" s="478"/>
      <c r="I305" s="478"/>
    </row>
    <row r="306" spans="1:9" ht="20.25">
      <c r="A306" s="478"/>
      <c r="B306" s="478"/>
      <c r="C306" s="478"/>
      <c r="D306" s="478"/>
      <c r="E306" s="478"/>
      <c r="F306" s="478"/>
      <c r="G306" s="478"/>
      <c r="H306" s="478"/>
      <c r="I306" s="478"/>
    </row>
    <row r="307" spans="1:9" ht="20.25">
      <c r="A307" s="478"/>
      <c r="B307" s="478"/>
      <c r="C307" s="478"/>
      <c r="D307" s="478"/>
      <c r="E307" s="478"/>
      <c r="F307" s="478"/>
      <c r="G307" s="478"/>
      <c r="H307" s="478"/>
      <c r="I307" s="478"/>
    </row>
    <row r="308" spans="1:9" ht="20.25">
      <c r="A308" s="478"/>
      <c r="B308" s="478"/>
      <c r="C308" s="478"/>
      <c r="D308" s="478"/>
      <c r="E308" s="478"/>
      <c r="F308" s="478"/>
      <c r="G308" s="478"/>
      <c r="H308" s="478"/>
      <c r="I308" s="478"/>
    </row>
    <row r="309" spans="1:9" ht="20.25">
      <c r="A309" s="478"/>
      <c r="B309" s="478"/>
      <c r="C309" s="478"/>
      <c r="D309" s="478"/>
      <c r="E309" s="478"/>
      <c r="F309" s="478"/>
      <c r="G309" s="478"/>
      <c r="H309" s="478"/>
      <c r="I309" s="478"/>
    </row>
    <row r="310" spans="1:9" ht="20.25">
      <c r="A310" s="478"/>
      <c r="B310" s="478"/>
      <c r="C310" s="478"/>
      <c r="D310" s="478"/>
      <c r="E310" s="478"/>
      <c r="F310" s="478"/>
      <c r="G310" s="478"/>
      <c r="H310" s="478"/>
      <c r="I310" s="478"/>
    </row>
    <row r="311" spans="1:9" ht="20.25">
      <c r="A311" s="478"/>
      <c r="B311" s="478"/>
      <c r="C311" s="478"/>
      <c r="D311" s="478"/>
      <c r="E311" s="478"/>
      <c r="F311" s="478"/>
      <c r="G311" s="478"/>
      <c r="H311" s="478"/>
      <c r="I311" s="478"/>
    </row>
    <row r="312" spans="1:9" ht="20.25">
      <c r="A312" s="478"/>
      <c r="B312" s="478"/>
      <c r="C312" s="478"/>
      <c r="D312" s="478"/>
      <c r="E312" s="478"/>
      <c r="F312" s="478"/>
      <c r="G312" s="478"/>
      <c r="H312" s="478"/>
      <c r="I312" s="478"/>
    </row>
    <row r="313" spans="1:9" ht="20.25">
      <c r="A313" s="478"/>
      <c r="B313" s="478"/>
      <c r="C313" s="478"/>
      <c r="D313" s="478"/>
      <c r="E313" s="478"/>
      <c r="F313" s="478"/>
      <c r="G313" s="478"/>
      <c r="H313" s="478"/>
      <c r="I313" s="478"/>
    </row>
    <row r="314" spans="1:9" ht="20.25">
      <c r="A314" s="478"/>
      <c r="B314" s="478"/>
      <c r="C314" s="478"/>
      <c r="D314" s="478"/>
      <c r="E314" s="478"/>
      <c r="F314" s="478"/>
      <c r="G314" s="478"/>
      <c r="H314" s="478"/>
      <c r="I314" s="478"/>
    </row>
    <row r="315" spans="1:9" ht="20.25">
      <c r="A315" s="478"/>
      <c r="B315" s="478"/>
      <c r="C315" s="478"/>
      <c r="D315" s="478"/>
      <c r="E315" s="478"/>
      <c r="F315" s="478"/>
      <c r="G315" s="478"/>
      <c r="H315" s="478"/>
      <c r="I315" s="478"/>
    </row>
    <row r="316" spans="1:9" ht="20.25">
      <c r="A316" s="478"/>
      <c r="B316" s="478"/>
      <c r="C316" s="478"/>
      <c r="D316" s="478"/>
      <c r="E316" s="478"/>
      <c r="F316" s="478"/>
      <c r="G316" s="478"/>
      <c r="H316" s="478"/>
      <c r="I316" s="478"/>
    </row>
    <row r="317" spans="1:9" ht="20.25">
      <c r="A317" s="478"/>
      <c r="B317" s="478"/>
      <c r="C317" s="478"/>
      <c r="D317" s="478"/>
      <c r="E317" s="478"/>
      <c r="F317" s="478"/>
      <c r="G317" s="478"/>
      <c r="H317" s="478"/>
      <c r="I317" s="478"/>
    </row>
    <row r="318" spans="1:9" ht="20.25">
      <c r="A318" s="478"/>
      <c r="B318" s="478"/>
      <c r="C318" s="478"/>
      <c r="D318" s="478"/>
      <c r="E318" s="478"/>
      <c r="F318" s="478"/>
      <c r="G318" s="478"/>
      <c r="H318" s="478"/>
      <c r="I318" s="478"/>
    </row>
    <row r="319" spans="1:9" ht="20.25">
      <c r="A319" s="478"/>
      <c r="B319" s="478"/>
      <c r="C319" s="478"/>
      <c r="D319" s="478"/>
      <c r="E319" s="478"/>
      <c r="F319" s="478"/>
      <c r="G319" s="478"/>
      <c r="H319" s="478"/>
      <c r="I319" s="478"/>
    </row>
    <row r="320" spans="1:9" ht="20.25">
      <c r="A320" s="478"/>
      <c r="B320" s="478"/>
      <c r="C320" s="478"/>
      <c r="D320" s="478"/>
      <c r="E320" s="478"/>
      <c r="F320" s="478"/>
      <c r="G320" s="478"/>
      <c r="H320" s="478"/>
      <c r="I320" s="478"/>
    </row>
    <row r="321" spans="1:9" ht="20.25">
      <c r="A321" s="478"/>
      <c r="B321" s="478"/>
      <c r="C321" s="478"/>
      <c r="D321" s="478"/>
      <c r="E321" s="478"/>
      <c r="F321" s="478"/>
      <c r="G321" s="478"/>
      <c r="H321" s="478"/>
      <c r="I321" s="478"/>
    </row>
    <row r="322" spans="1:9" ht="20.25">
      <c r="A322" s="478"/>
      <c r="B322" s="478"/>
      <c r="C322" s="478"/>
      <c r="D322" s="478"/>
      <c r="E322" s="478"/>
      <c r="F322" s="478"/>
      <c r="G322" s="478"/>
      <c r="H322" s="478"/>
      <c r="I322" s="478"/>
    </row>
    <row r="323" spans="1:9" ht="20.25">
      <c r="A323" s="478"/>
      <c r="B323" s="478"/>
      <c r="C323" s="478"/>
      <c r="D323" s="478"/>
      <c r="E323" s="478"/>
      <c r="F323" s="478"/>
      <c r="G323" s="478"/>
      <c r="H323" s="478"/>
      <c r="I323" s="478"/>
    </row>
    <row r="324" spans="1:9" ht="20.25">
      <c r="A324" s="478"/>
      <c r="B324" s="478"/>
      <c r="C324" s="478"/>
      <c r="D324" s="478"/>
      <c r="E324" s="478"/>
      <c r="F324" s="478"/>
      <c r="G324" s="478"/>
      <c r="H324" s="478"/>
      <c r="I324" s="478"/>
    </row>
    <row r="325" spans="1:9" ht="20.25">
      <c r="A325" s="478"/>
      <c r="B325" s="478"/>
      <c r="C325" s="478"/>
      <c r="D325" s="478"/>
      <c r="E325" s="478"/>
      <c r="F325" s="478"/>
      <c r="G325" s="478"/>
      <c r="H325" s="478"/>
      <c r="I325" s="478"/>
    </row>
    <row r="326" spans="1:9" ht="20.25">
      <c r="A326" s="478"/>
      <c r="B326" s="478"/>
      <c r="C326" s="478"/>
      <c r="D326" s="478"/>
      <c r="E326" s="478"/>
      <c r="F326" s="478"/>
      <c r="G326" s="478"/>
      <c r="H326" s="478"/>
      <c r="I326" s="478"/>
    </row>
    <row r="327" spans="1:9" ht="20.25">
      <c r="A327" s="478"/>
      <c r="B327" s="478"/>
      <c r="C327" s="478"/>
      <c r="D327" s="478"/>
      <c r="E327" s="478"/>
      <c r="F327" s="478"/>
      <c r="G327" s="478"/>
      <c r="H327" s="478"/>
      <c r="I327" s="478"/>
    </row>
    <row r="328" spans="1:9" ht="20.25">
      <c r="A328" s="478"/>
      <c r="B328" s="478"/>
      <c r="C328" s="478"/>
      <c r="D328" s="478"/>
      <c r="E328" s="478"/>
      <c r="F328" s="478"/>
      <c r="G328" s="478"/>
      <c r="H328" s="478"/>
      <c r="I328" s="478"/>
    </row>
    <row r="329" spans="1:9" ht="20.25">
      <c r="A329" s="478"/>
      <c r="B329" s="478"/>
      <c r="C329" s="478"/>
      <c r="D329" s="478"/>
      <c r="E329" s="478"/>
      <c r="F329" s="478"/>
      <c r="G329" s="478"/>
      <c r="H329" s="478"/>
      <c r="I329" s="478"/>
    </row>
    <row r="330" spans="1:9" ht="20.25">
      <c r="A330" s="478"/>
      <c r="B330" s="478"/>
      <c r="C330" s="478"/>
      <c r="D330" s="478"/>
      <c r="E330" s="478"/>
      <c r="F330" s="478"/>
      <c r="G330" s="478"/>
      <c r="H330" s="478"/>
      <c r="I330" s="478"/>
    </row>
    <row r="331" spans="1:9" ht="20.25">
      <c r="A331" s="478"/>
      <c r="B331" s="478"/>
      <c r="C331" s="478"/>
      <c r="D331" s="478"/>
      <c r="E331" s="478"/>
      <c r="F331" s="478"/>
      <c r="G331" s="478"/>
      <c r="H331" s="478"/>
      <c r="I331" s="478"/>
    </row>
    <row r="332" spans="1:9" ht="20.25">
      <c r="A332" s="478"/>
      <c r="B332" s="478"/>
      <c r="C332" s="478"/>
      <c r="D332" s="478"/>
      <c r="E332" s="478"/>
      <c r="F332" s="478"/>
      <c r="G332" s="478"/>
      <c r="H332" s="478"/>
      <c r="I332" s="478"/>
    </row>
    <row r="333" spans="1:9" ht="20.25">
      <c r="A333" s="478"/>
      <c r="B333" s="478"/>
      <c r="C333" s="478"/>
      <c r="D333" s="478"/>
      <c r="E333" s="478"/>
      <c r="F333" s="478"/>
      <c r="G333" s="478"/>
      <c r="H333" s="478"/>
      <c r="I333" s="478"/>
    </row>
    <row r="334" spans="1:9" ht="20.25">
      <c r="A334" s="478"/>
      <c r="B334" s="478"/>
      <c r="C334" s="478"/>
      <c r="D334" s="478"/>
      <c r="E334" s="478"/>
      <c r="F334" s="478"/>
      <c r="G334" s="478"/>
      <c r="H334" s="478"/>
      <c r="I334" s="478"/>
    </row>
    <row r="335" spans="1:9" ht="20.25">
      <c r="A335" s="478"/>
      <c r="B335" s="478"/>
      <c r="C335" s="478"/>
      <c r="D335" s="478"/>
      <c r="E335" s="478"/>
      <c r="F335" s="478"/>
      <c r="G335" s="478"/>
      <c r="H335" s="478"/>
      <c r="I335" s="478"/>
    </row>
    <row r="336" spans="1:9" ht="20.25">
      <c r="A336" s="478"/>
      <c r="B336" s="478"/>
      <c r="C336" s="478"/>
      <c r="D336" s="478"/>
      <c r="E336" s="478"/>
      <c r="F336" s="478"/>
      <c r="G336" s="478"/>
      <c r="H336" s="478"/>
      <c r="I336" s="478"/>
    </row>
    <row r="337" spans="1:9" ht="20.25">
      <c r="A337" s="478"/>
      <c r="B337" s="478"/>
      <c r="C337" s="478"/>
      <c r="D337" s="478"/>
      <c r="E337" s="478"/>
      <c r="F337" s="478"/>
      <c r="G337" s="478"/>
      <c r="H337" s="478"/>
      <c r="I337" s="478"/>
    </row>
    <row r="338" spans="1:9" ht="20.25">
      <c r="A338" s="478"/>
      <c r="B338" s="478"/>
      <c r="C338" s="478"/>
      <c r="D338" s="478"/>
      <c r="E338" s="478"/>
      <c r="F338" s="478"/>
      <c r="G338" s="478"/>
      <c r="H338" s="478"/>
      <c r="I338" s="478"/>
    </row>
    <row r="339" spans="1:9" ht="20.25">
      <c r="A339" s="478"/>
      <c r="B339" s="478"/>
      <c r="C339" s="478"/>
      <c r="D339" s="478"/>
      <c r="E339" s="478"/>
      <c r="F339" s="478"/>
      <c r="G339" s="478"/>
      <c r="H339" s="478"/>
      <c r="I339" s="478"/>
    </row>
    <row r="340" spans="1:9" ht="20.25">
      <c r="A340" s="478"/>
      <c r="B340" s="478"/>
      <c r="C340" s="478"/>
      <c r="D340" s="478"/>
      <c r="E340" s="478"/>
      <c r="F340" s="478"/>
      <c r="G340" s="478"/>
      <c r="H340" s="478"/>
      <c r="I340" s="478"/>
    </row>
    <row r="341" spans="1:9" ht="20.25">
      <c r="A341" s="478"/>
      <c r="B341" s="478"/>
      <c r="C341" s="478"/>
      <c r="D341" s="478"/>
      <c r="E341" s="478"/>
      <c r="F341" s="478"/>
      <c r="G341" s="478"/>
      <c r="H341" s="478"/>
      <c r="I341" s="478"/>
    </row>
    <row r="342" spans="1:9" ht="20.25">
      <c r="A342" s="478"/>
      <c r="B342" s="478"/>
      <c r="C342" s="478"/>
      <c r="D342" s="478"/>
      <c r="E342" s="478"/>
      <c r="F342" s="478"/>
      <c r="G342" s="478"/>
      <c r="H342" s="478"/>
      <c r="I342" s="478"/>
    </row>
    <row r="343" spans="1:9" ht="20.25">
      <c r="A343" s="478"/>
      <c r="B343" s="478"/>
      <c r="C343" s="478"/>
      <c r="D343" s="478"/>
      <c r="E343" s="478"/>
      <c r="F343" s="478"/>
      <c r="G343" s="478"/>
      <c r="H343" s="478"/>
      <c r="I343" s="478"/>
    </row>
    <row r="344" spans="1:9" ht="20.25">
      <c r="A344" s="478"/>
      <c r="B344" s="478"/>
      <c r="C344" s="478"/>
      <c r="D344" s="478"/>
      <c r="E344" s="478"/>
      <c r="F344" s="478"/>
      <c r="G344" s="478"/>
      <c r="H344" s="478"/>
      <c r="I344" s="478"/>
    </row>
    <row r="345" spans="1:9" ht="20.25">
      <c r="A345" s="478"/>
      <c r="B345" s="478"/>
      <c r="C345" s="478"/>
      <c r="D345" s="478"/>
      <c r="E345" s="478"/>
      <c r="F345" s="478"/>
      <c r="G345" s="478"/>
      <c r="H345" s="478"/>
      <c r="I345" s="478"/>
    </row>
    <row r="346" spans="1:9" ht="20.25">
      <c r="A346" s="478"/>
      <c r="B346" s="478"/>
      <c r="C346" s="478"/>
      <c r="D346" s="478"/>
      <c r="E346" s="478"/>
      <c r="F346" s="478"/>
      <c r="G346" s="478"/>
      <c r="H346" s="478"/>
      <c r="I346" s="478"/>
    </row>
    <row r="347" spans="1:9" ht="20.25">
      <c r="A347" s="478"/>
      <c r="B347" s="478"/>
      <c r="C347" s="478"/>
      <c r="D347" s="478"/>
      <c r="E347" s="478"/>
      <c r="F347" s="478"/>
      <c r="G347" s="478"/>
      <c r="H347" s="478"/>
      <c r="I347" s="478"/>
    </row>
    <row r="348" spans="1:9" ht="20.25">
      <c r="A348" s="478"/>
      <c r="B348" s="478"/>
      <c r="C348" s="478"/>
      <c r="D348" s="478"/>
      <c r="E348" s="478"/>
      <c r="F348" s="478"/>
      <c r="G348" s="478"/>
      <c r="H348" s="478"/>
      <c r="I348" s="478"/>
    </row>
    <row r="349" spans="1:9" ht="20.25">
      <c r="A349" s="478"/>
      <c r="B349" s="478"/>
      <c r="C349" s="478"/>
      <c r="D349" s="478"/>
      <c r="E349" s="478"/>
      <c r="F349" s="478"/>
      <c r="G349" s="478"/>
      <c r="H349" s="478"/>
      <c r="I349" s="478"/>
    </row>
    <row r="350" spans="1:9" ht="20.25">
      <c r="A350" s="478"/>
      <c r="B350" s="478"/>
      <c r="C350" s="478"/>
      <c r="D350" s="478"/>
      <c r="E350" s="478"/>
      <c r="F350" s="478"/>
      <c r="G350" s="478"/>
      <c r="H350" s="478"/>
      <c r="I350" s="478"/>
    </row>
    <row r="351" spans="1:9" ht="20.25">
      <c r="A351" s="478"/>
      <c r="B351" s="478"/>
      <c r="C351" s="478"/>
      <c r="D351" s="478"/>
      <c r="E351" s="478"/>
      <c r="F351" s="478"/>
      <c r="G351" s="478"/>
      <c r="H351" s="478"/>
      <c r="I351" s="478"/>
    </row>
    <row r="352" spans="1:9" ht="20.25">
      <c r="A352" s="478"/>
      <c r="B352" s="478"/>
      <c r="C352" s="478"/>
      <c r="D352" s="478"/>
      <c r="E352" s="478"/>
      <c r="F352" s="478"/>
      <c r="G352" s="478"/>
      <c r="H352" s="478"/>
      <c r="I352" s="478"/>
    </row>
    <row r="353" spans="1:9" ht="20.25">
      <c r="A353" s="478"/>
      <c r="B353" s="478"/>
      <c r="C353" s="478"/>
      <c r="D353" s="478"/>
      <c r="E353" s="478"/>
      <c r="F353" s="478"/>
      <c r="G353" s="478"/>
      <c r="H353" s="478"/>
      <c r="I353" s="478"/>
    </row>
    <row r="354" spans="1:9" ht="20.25">
      <c r="A354" s="478"/>
      <c r="B354" s="478"/>
      <c r="C354" s="478"/>
      <c r="D354" s="478"/>
      <c r="E354" s="478"/>
      <c r="F354" s="478"/>
      <c r="G354" s="478"/>
      <c r="H354" s="478"/>
      <c r="I354" s="478"/>
    </row>
    <row r="355" spans="1:9" ht="20.25">
      <c r="A355" s="478"/>
      <c r="B355" s="478"/>
      <c r="C355" s="478"/>
      <c r="D355" s="478"/>
      <c r="E355" s="478"/>
      <c r="F355" s="478"/>
      <c r="G355" s="478"/>
      <c r="H355" s="478"/>
      <c r="I355" s="478"/>
    </row>
    <row r="356" spans="1:9" ht="20.25">
      <c r="A356" s="478"/>
      <c r="B356" s="478"/>
      <c r="C356" s="478"/>
      <c r="D356" s="478"/>
      <c r="E356" s="478"/>
      <c r="F356" s="478"/>
      <c r="G356" s="478"/>
      <c r="H356" s="478"/>
      <c r="I356" s="478"/>
    </row>
    <row r="357" spans="1:9" ht="20.25">
      <c r="A357" s="478"/>
      <c r="B357" s="478"/>
      <c r="C357" s="478"/>
      <c r="D357" s="478"/>
      <c r="E357" s="478"/>
      <c r="F357" s="478"/>
      <c r="G357" s="478"/>
      <c r="H357" s="478"/>
      <c r="I357" s="478"/>
    </row>
    <row r="358" spans="1:9" ht="20.25">
      <c r="A358" s="478"/>
      <c r="B358" s="478"/>
      <c r="C358" s="478"/>
      <c r="D358" s="478"/>
      <c r="E358" s="478"/>
      <c r="F358" s="478"/>
      <c r="G358" s="478"/>
      <c r="H358" s="478"/>
      <c r="I358" s="478"/>
    </row>
    <row r="359" spans="1:9" ht="20.25">
      <c r="A359" s="478"/>
      <c r="B359" s="478"/>
      <c r="C359" s="478"/>
      <c r="D359" s="478"/>
      <c r="E359" s="478"/>
      <c r="F359" s="478"/>
      <c r="G359" s="478"/>
      <c r="H359" s="478"/>
      <c r="I359" s="478"/>
    </row>
    <row r="360" spans="1:9" ht="20.25">
      <c r="A360" s="478"/>
      <c r="B360" s="478"/>
      <c r="C360" s="478"/>
      <c r="D360" s="478"/>
      <c r="E360" s="478"/>
      <c r="F360" s="478"/>
      <c r="G360" s="478"/>
      <c r="H360" s="478"/>
      <c r="I360" s="478"/>
    </row>
    <row r="361" spans="1:9" ht="20.25">
      <c r="A361" s="478"/>
      <c r="B361" s="478"/>
      <c r="C361" s="478"/>
      <c r="D361" s="478"/>
      <c r="E361" s="478"/>
      <c r="F361" s="478"/>
      <c r="G361" s="478"/>
      <c r="H361" s="478"/>
      <c r="I361" s="478"/>
    </row>
    <row r="362" spans="1:9" ht="20.25">
      <c r="A362" s="478"/>
      <c r="B362" s="478"/>
      <c r="C362" s="478"/>
      <c r="D362" s="478"/>
      <c r="E362" s="478"/>
      <c r="F362" s="478"/>
      <c r="G362" s="478"/>
      <c r="H362" s="478"/>
      <c r="I362" s="478"/>
    </row>
    <row r="363" spans="1:9" ht="20.25">
      <c r="A363" s="478"/>
      <c r="B363" s="478"/>
      <c r="C363" s="478"/>
      <c r="D363" s="478"/>
      <c r="E363" s="478"/>
      <c r="F363" s="478"/>
      <c r="G363" s="478"/>
      <c r="H363" s="478"/>
      <c r="I363" s="478"/>
    </row>
    <row r="364" spans="1:9" ht="20.25">
      <c r="A364" s="478"/>
      <c r="B364" s="478"/>
      <c r="C364" s="478"/>
      <c r="D364" s="478"/>
      <c r="E364" s="478"/>
      <c r="F364" s="478"/>
      <c r="G364" s="478"/>
      <c r="H364" s="478"/>
      <c r="I364" s="478"/>
    </row>
    <row r="365" spans="1:9" ht="20.25">
      <c r="A365" s="478"/>
      <c r="B365" s="478"/>
      <c r="C365" s="478"/>
      <c r="D365" s="478"/>
      <c r="E365" s="478"/>
      <c r="F365" s="478"/>
      <c r="G365" s="478"/>
      <c r="H365" s="478"/>
      <c r="I365" s="478"/>
    </row>
    <row r="366" spans="1:9" ht="20.25">
      <c r="A366" s="478"/>
      <c r="B366" s="478"/>
      <c r="C366" s="478"/>
      <c r="D366" s="478"/>
      <c r="E366" s="478"/>
      <c r="F366" s="478"/>
      <c r="G366" s="478"/>
      <c r="H366" s="478"/>
      <c r="I366" s="478"/>
    </row>
    <row r="367" spans="1:9" ht="20.25">
      <c r="A367" s="478"/>
      <c r="B367" s="478"/>
      <c r="C367" s="478"/>
      <c r="D367" s="478"/>
      <c r="E367" s="478"/>
      <c r="F367" s="478"/>
      <c r="G367" s="478"/>
      <c r="H367" s="478"/>
      <c r="I367" s="478"/>
    </row>
    <row r="368" spans="1:9" ht="20.25">
      <c r="A368" s="478"/>
      <c r="B368" s="478"/>
      <c r="C368" s="478"/>
      <c r="D368" s="478"/>
      <c r="E368" s="478"/>
      <c r="F368" s="478"/>
      <c r="G368" s="478"/>
      <c r="H368" s="478"/>
      <c r="I368" s="478"/>
    </row>
    <row r="369" spans="1:9" ht="20.25">
      <c r="A369" s="478"/>
      <c r="B369" s="478"/>
      <c r="C369" s="478"/>
      <c r="D369" s="478"/>
      <c r="E369" s="478"/>
      <c r="F369" s="478"/>
      <c r="G369" s="478"/>
      <c r="H369" s="478"/>
      <c r="I369" s="478"/>
    </row>
    <row r="370" spans="1:9" ht="20.25">
      <c r="A370" s="478"/>
      <c r="B370" s="478"/>
      <c r="C370" s="478"/>
      <c r="D370" s="478"/>
      <c r="E370" s="478"/>
      <c r="F370" s="478"/>
      <c r="G370" s="478"/>
      <c r="H370" s="478"/>
      <c r="I370" s="478"/>
    </row>
    <row r="371" spans="1:9" ht="20.25">
      <c r="A371" s="478"/>
      <c r="B371" s="478"/>
      <c r="C371" s="478"/>
      <c r="D371" s="478"/>
      <c r="E371" s="478"/>
      <c r="F371" s="478"/>
      <c r="G371" s="478"/>
      <c r="H371" s="478"/>
      <c r="I371" s="478"/>
    </row>
    <row r="372" spans="1:9" ht="20.25">
      <c r="A372" s="478"/>
      <c r="B372" s="478"/>
      <c r="C372" s="478"/>
      <c r="D372" s="478"/>
      <c r="E372" s="478"/>
      <c r="F372" s="478"/>
      <c r="G372" s="478"/>
      <c r="H372" s="478"/>
      <c r="I372" s="478"/>
    </row>
    <row r="373" spans="1:9" ht="20.25">
      <c r="A373" s="478"/>
      <c r="B373" s="478"/>
      <c r="C373" s="478"/>
      <c r="D373" s="478"/>
      <c r="E373" s="478"/>
      <c r="F373" s="478"/>
      <c r="G373" s="478"/>
      <c r="H373" s="478"/>
      <c r="I373" s="478"/>
    </row>
    <row r="374" spans="1:9" ht="20.25">
      <c r="A374" s="478"/>
      <c r="B374" s="478"/>
      <c r="C374" s="478"/>
      <c r="D374" s="478"/>
      <c r="E374" s="478"/>
      <c r="F374" s="478"/>
      <c r="G374" s="478"/>
      <c r="H374" s="478"/>
      <c r="I374" s="478"/>
    </row>
    <row r="375" spans="1:9" ht="20.25">
      <c r="A375" s="478"/>
      <c r="B375" s="478"/>
      <c r="C375" s="478"/>
      <c r="D375" s="478"/>
      <c r="E375" s="478"/>
      <c r="F375" s="478"/>
      <c r="G375" s="478"/>
      <c r="H375" s="478"/>
      <c r="I375" s="478"/>
    </row>
    <row r="376" spans="1:9" ht="20.25">
      <c r="A376" s="478"/>
      <c r="B376" s="478"/>
      <c r="C376" s="478"/>
      <c r="D376" s="478"/>
      <c r="E376" s="478"/>
      <c r="F376" s="478"/>
      <c r="G376" s="478"/>
      <c r="H376" s="478"/>
      <c r="I376" s="478"/>
    </row>
    <row r="377" spans="1:9" ht="20.25">
      <c r="A377" s="478"/>
      <c r="B377" s="478"/>
      <c r="C377" s="478"/>
      <c r="D377" s="478"/>
      <c r="E377" s="478"/>
      <c r="F377" s="478"/>
      <c r="G377" s="478"/>
      <c r="H377" s="478"/>
      <c r="I377" s="478"/>
    </row>
    <row r="378" spans="1:9" ht="20.25">
      <c r="A378" s="478"/>
      <c r="B378" s="478"/>
      <c r="C378" s="478"/>
      <c r="D378" s="478"/>
      <c r="E378" s="478"/>
      <c r="F378" s="478"/>
      <c r="G378" s="478"/>
      <c r="H378" s="478"/>
      <c r="I378" s="478"/>
    </row>
    <row r="379" spans="1:9" ht="20.25">
      <c r="A379" s="478"/>
      <c r="B379" s="478"/>
      <c r="C379" s="478"/>
      <c r="D379" s="478"/>
      <c r="E379" s="478"/>
      <c r="F379" s="478"/>
      <c r="G379" s="478"/>
      <c r="H379" s="478"/>
      <c r="I379" s="478"/>
    </row>
    <row r="380" spans="1:9" ht="20.25">
      <c r="A380" s="478"/>
      <c r="B380" s="478"/>
      <c r="C380" s="478"/>
      <c r="D380" s="478"/>
      <c r="E380" s="478"/>
      <c r="F380" s="478"/>
      <c r="G380" s="478"/>
      <c r="H380" s="478"/>
      <c r="I380" s="478"/>
    </row>
    <row r="381" spans="1:9" ht="20.25">
      <c r="A381" s="478"/>
      <c r="B381" s="478"/>
      <c r="C381" s="478"/>
      <c r="D381" s="478"/>
      <c r="E381" s="478"/>
      <c r="F381" s="478"/>
      <c r="G381" s="478"/>
      <c r="H381" s="478"/>
      <c r="I381" s="478"/>
    </row>
    <row r="382" spans="1:9" ht="20.25">
      <c r="A382" s="478"/>
      <c r="B382" s="478"/>
      <c r="C382" s="478"/>
      <c r="D382" s="478"/>
      <c r="E382" s="478"/>
      <c r="F382" s="478"/>
      <c r="G382" s="478"/>
      <c r="H382" s="478"/>
      <c r="I382" s="478"/>
    </row>
    <row r="383" spans="1:9" ht="20.25">
      <c r="A383" s="478"/>
      <c r="B383" s="478"/>
      <c r="C383" s="478"/>
      <c r="D383" s="478"/>
      <c r="E383" s="478"/>
      <c r="F383" s="478"/>
      <c r="G383" s="478"/>
      <c r="H383" s="478"/>
      <c r="I383" s="478"/>
    </row>
    <row r="384" spans="1:9" ht="20.25">
      <c r="A384" s="478"/>
      <c r="B384" s="478"/>
      <c r="C384" s="478"/>
      <c r="D384" s="478"/>
      <c r="E384" s="478"/>
      <c r="F384" s="478"/>
      <c r="G384" s="478"/>
      <c r="H384" s="478"/>
      <c r="I384" s="478"/>
    </row>
    <row r="385" spans="1:9" ht="20.25">
      <c r="A385" s="478"/>
      <c r="B385" s="478"/>
      <c r="C385" s="478"/>
      <c r="D385" s="478"/>
      <c r="E385" s="478"/>
      <c r="F385" s="478"/>
      <c r="G385" s="478"/>
      <c r="H385" s="478"/>
      <c r="I385" s="478"/>
    </row>
    <row r="386" spans="1:9" ht="20.25">
      <c r="A386" s="478"/>
      <c r="B386" s="478"/>
      <c r="C386" s="478"/>
      <c r="D386" s="478"/>
      <c r="E386" s="478"/>
      <c r="F386" s="478"/>
      <c r="G386" s="478"/>
      <c r="H386" s="478"/>
      <c r="I386" s="478"/>
    </row>
    <row r="387" spans="1:9" ht="20.25">
      <c r="A387" s="478"/>
      <c r="B387" s="478"/>
      <c r="C387" s="478"/>
      <c r="D387" s="478"/>
      <c r="E387" s="478"/>
      <c r="F387" s="478"/>
      <c r="G387" s="478"/>
      <c r="H387" s="478"/>
      <c r="I387" s="478"/>
    </row>
    <row r="388" spans="1:9" ht="20.25">
      <c r="A388" s="478"/>
      <c r="B388" s="478"/>
      <c r="C388" s="478"/>
      <c r="D388" s="478"/>
      <c r="E388" s="478"/>
      <c r="F388" s="478"/>
      <c r="G388" s="478"/>
      <c r="H388" s="478"/>
      <c r="I388" s="478"/>
    </row>
    <row r="389" spans="1:9" ht="20.25">
      <c r="A389" s="478"/>
      <c r="B389" s="478"/>
      <c r="C389" s="478"/>
      <c r="D389" s="478"/>
      <c r="E389" s="478"/>
      <c r="F389" s="478"/>
      <c r="G389" s="478"/>
      <c r="H389" s="478"/>
      <c r="I389" s="478"/>
    </row>
    <row r="390" spans="1:9" ht="20.25">
      <c r="A390" s="478"/>
      <c r="B390" s="478"/>
      <c r="C390" s="478"/>
      <c r="D390" s="478"/>
      <c r="E390" s="478"/>
      <c r="F390" s="478"/>
      <c r="G390" s="478"/>
      <c r="H390" s="478"/>
      <c r="I390" s="478"/>
    </row>
    <row r="391" spans="1:9" ht="20.25">
      <c r="A391" s="478"/>
      <c r="B391" s="478"/>
      <c r="C391" s="478"/>
      <c r="D391" s="478"/>
      <c r="E391" s="478"/>
      <c r="F391" s="478"/>
      <c r="G391" s="478"/>
      <c r="H391" s="478"/>
      <c r="I391" s="478"/>
    </row>
    <row r="392" spans="1:9" ht="20.25">
      <c r="A392" s="478"/>
      <c r="B392" s="478"/>
      <c r="C392" s="478"/>
      <c r="D392" s="478"/>
      <c r="E392" s="478"/>
      <c r="F392" s="478"/>
      <c r="G392" s="478"/>
      <c r="H392" s="478"/>
      <c r="I392" s="478"/>
    </row>
    <row r="393" spans="1:9" ht="20.25">
      <c r="A393" s="478"/>
      <c r="B393" s="478"/>
      <c r="C393" s="478"/>
      <c r="D393" s="478"/>
      <c r="E393" s="478"/>
      <c r="F393" s="478"/>
      <c r="G393" s="478"/>
      <c r="H393" s="478"/>
      <c r="I393" s="478"/>
    </row>
    <row r="394" spans="1:9" ht="20.25">
      <c r="A394" s="478"/>
      <c r="B394" s="478"/>
      <c r="C394" s="478"/>
      <c r="D394" s="478"/>
      <c r="E394" s="478"/>
      <c r="F394" s="478"/>
      <c r="G394" s="478"/>
      <c r="H394" s="478"/>
      <c r="I394" s="478"/>
    </row>
    <row r="395" spans="1:9" ht="20.25">
      <c r="A395" s="478"/>
      <c r="B395" s="478"/>
      <c r="C395" s="478"/>
      <c r="D395" s="478"/>
      <c r="E395" s="478"/>
      <c r="F395" s="478"/>
      <c r="G395" s="478"/>
      <c r="H395" s="478"/>
      <c r="I395" s="478"/>
    </row>
    <row r="396" spans="1:9" ht="20.25">
      <c r="A396" s="478"/>
      <c r="B396" s="478"/>
      <c r="C396" s="478"/>
      <c r="D396" s="478"/>
      <c r="E396" s="478"/>
      <c r="F396" s="478"/>
      <c r="G396" s="478"/>
      <c r="H396" s="478"/>
      <c r="I396" s="478"/>
    </row>
    <row r="397" spans="1:9" ht="20.25">
      <c r="A397" s="478"/>
      <c r="B397" s="478"/>
      <c r="C397" s="478"/>
      <c r="D397" s="478"/>
      <c r="E397" s="478"/>
      <c r="F397" s="478"/>
      <c r="G397" s="478"/>
      <c r="H397" s="478"/>
      <c r="I397" s="478"/>
    </row>
    <row r="398" spans="1:9" ht="20.25">
      <c r="A398" s="478"/>
      <c r="B398" s="478"/>
      <c r="C398" s="478"/>
      <c r="D398" s="478"/>
      <c r="E398" s="478"/>
      <c r="F398" s="478"/>
      <c r="G398" s="478"/>
      <c r="H398" s="478"/>
      <c r="I398" s="478"/>
    </row>
    <row r="399" spans="1:9" ht="20.25">
      <c r="A399" s="478"/>
      <c r="B399" s="478"/>
      <c r="C399" s="478"/>
      <c r="D399" s="478"/>
      <c r="E399" s="478"/>
      <c r="F399" s="478"/>
      <c r="G399" s="478"/>
      <c r="H399" s="478"/>
      <c r="I399" s="478"/>
    </row>
    <row r="400" spans="1:9" ht="20.25">
      <c r="A400" s="478"/>
      <c r="B400" s="478"/>
      <c r="C400" s="478"/>
      <c r="D400" s="478"/>
      <c r="E400" s="478"/>
      <c r="F400" s="478"/>
      <c r="G400" s="478"/>
      <c r="H400" s="478"/>
      <c r="I400" s="478"/>
    </row>
    <row r="401" spans="1:9" ht="20.25">
      <c r="A401" s="478"/>
      <c r="B401" s="478"/>
      <c r="C401" s="478"/>
      <c r="D401" s="478"/>
      <c r="E401" s="478"/>
      <c r="F401" s="478"/>
      <c r="G401" s="478"/>
      <c r="H401" s="478"/>
      <c r="I401" s="478"/>
    </row>
    <row r="402" spans="1:9" ht="20.25">
      <c r="A402" s="478"/>
      <c r="B402" s="478"/>
      <c r="C402" s="478"/>
      <c r="D402" s="478"/>
      <c r="E402" s="478"/>
      <c r="F402" s="478"/>
      <c r="G402" s="478"/>
      <c r="H402" s="478"/>
      <c r="I402" s="478"/>
    </row>
    <row r="403" spans="1:9" ht="20.25">
      <c r="A403" s="478"/>
      <c r="B403" s="478"/>
      <c r="C403" s="478"/>
      <c r="D403" s="478"/>
      <c r="E403" s="478"/>
      <c r="F403" s="478"/>
      <c r="G403" s="478"/>
      <c r="H403" s="478"/>
      <c r="I403" s="478"/>
    </row>
    <row r="404" spans="1:9" ht="20.25">
      <c r="A404" s="478"/>
      <c r="B404" s="478"/>
      <c r="C404" s="478"/>
      <c r="D404" s="478"/>
      <c r="E404" s="478"/>
      <c r="F404" s="478"/>
      <c r="G404" s="478"/>
      <c r="H404" s="478"/>
      <c r="I404" s="478"/>
    </row>
    <row r="405" spans="1:9" ht="20.25">
      <c r="A405" s="478"/>
      <c r="B405" s="478"/>
      <c r="C405" s="478"/>
      <c r="D405" s="478"/>
      <c r="E405" s="478"/>
      <c r="F405" s="478"/>
      <c r="G405" s="478"/>
      <c r="H405" s="478"/>
      <c r="I405" s="478"/>
    </row>
    <row r="406" spans="1:9" ht="20.25">
      <c r="A406" s="478"/>
      <c r="B406" s="478"/>
      <c r="C406" s="478"/>
      <c r="D406" s="478"/>
      <c r="E406" s="478"/>
      <c r="F406" s="478"/>
      <c r="G406" s="478"/>
      <c r="H406" s="478"/>
      <c r="I406" s="478"/>
    </row>
    <row r="407" spans="1:9" ht="20.25">
      <c r="A407" s="478"/>
      <c r="B407" s="478"/>
      <c r="C407" s="478"/>
      <c r="D407" s="478"/>
      <c r="E407" s="478"/>
      <c r="F407" s="478"/>
      <c r="G407" s="478"/>
      <c r="H407" s="478"/>
      <c r="I407" s="478"/>
    </row>
    <row r="408" spans="1:9" ht="20.25">
      <c r="A408" s="478"/>
      <c r="B408" s="478"/>
      <c r="C408" s="478"/>
      <c r="D408" s="478"/>
      <c r="E408" s="478"/>
      <c r="F408" s="478"/>
      <c r="G408" s="478"/>
      <c r="H408" s="478"/>
      <c r="I408" s="478"/>
    </row>
    <row r="409" spans="1:9" ht="20.25">
      <c r="A409" s="478"/>
      <c r="B409" s="478"/>
      <c r="C409" s="478"/>
      <c r="D409" s="478"/>
      <c r="E409" s="478"/>
      <c r="F409" s="478"/>
      <c r="G409" s="478"/>
      <c r="H409" s="478"/>
      <c r="I409" s="478"/>
    </row>
    <row r="410" spans="1:9" ht="20.25">
      <c r="A410" s="478"/>
      <c r="B410" s="478"/>
      <c r="C410" s="478"/>
      <c r="D410" s="478"/>
      <c r="E410" s="478"/>
      <c r="F410" s="478"/>
      <c r="G410" s="478"/>
      <c r="H410" s="478"/>
      <c r="I410" s="478"/>
    </row>
    <row r="411" spans="1:9" ht="20.25">
      <c r="A411" s="478"/>
      <c r="B411" s="478"/>
      <c r="C411" s="478"/>
      <c r="D411" s="478"/>
      <c r="E411" s="478"/>
      <c r="F411" s="478"/>
      <c r="G411" s="478"/>
      <c r="H411" s="478"/>
      <c r="I411" s="478"/>
    </row>
    <row r="412" spans="1:9" ht="20.25">
      <c r="A412" s="478"/>
      <c r="B412" s="478"/>
      <c r="C412" s="478"/>
      <c r="D412" s="478"/>
      <c r="E412" s="478"/>
      <c r="F412" s="478"/>
      <c r="G412" s="478"/>
      <c r="H412" s="478"/>
      <c r="I412" s="478"/>
    </row>
    <row r="413" spans="1:9" ht="20.25">
      <c r="A413" s="478"/>
      <c r="B413" s="478"/>
      <c r="C413" s="478"/>
      <c r="D413" s="478"/>
      <c r="E413" s="478"/>
      <c r="F413" s="478"/>
      <c r="G413" s="478"/>
      <c r="H413" s="478"/>
      <c r="I413" s="478"/>
    </row>
    <row r="414" spans="1:9" ht="20.25">
      <c r="A414" s="478"/>
      <c r="B414" s="478"/>
      <c r="C414" s="478"/>
      <c r="D414" s="478"/>
      <c r="E414" s="478"/>
      <c r="F414" s="478"/>
      <c r="G414" s="478"/>
      <c r="H414" s="478"/>
      <c r="I414" s="478"/>
    </row>
    <row r="415" spans="1:9" ht="20.25">
      <c r="A415" s="478"/>
      <c r="B415" s="478"/>
      <c r="C415" s="478"/>
      <c r="D415" s="478"/>
      <c r="E415" s="478"/>
      <c r="F415" s="478"/>
      <c r="G415" s="478"/>
      <c r="H415" s="478"/>
      <c r="I415" s="478"/>
    </row>
    <row r="416" spans="1:9" ht="20.25">
      <c r="A416" s="478"/>
      <c r="B416" s="478"/>
      <c r="C416" s="478"/>
      <c r="D416" s="478"/>
      <c r="E416" s="478"/>
      <c r="F416" s="478"/>
      <c r="G416" s="478"/>
      <c r="H416" s="478"/>
      <c r="I416" s="478"/>
    </row>
    <row r="417" spans="1:9" ht="20.25">
      <c r="A417" s="478"/>
      <c r="B417" s="478"/>
      <c r="C417" s="478"/>
      <c r="D417" s="478"/>
      <c r="E417" s="478"/>
      <c r="F417" s="478"/>
      <c r="G417" s="478"/>
      <c r="H417" s="478"/>
      <c r="I417" s="478"/>
    </row>
    <row r="418" spans="1:9" ht="20.25">
      <c r="A418" s="478"/>
      <c r="B418" s="478"/>
      <c r="C418" s="478"/>
      <c r="D418" s="478"/>
      <c r="E418" s="478"/>
      <c r="F418" s="478"/>
      <c r="G418" s="478"/>
      <c r="H418" s="478"/>
      <c r="I418" s="478"/>
    </row>
    <row r="419" spans="1:9" ht="20.25">
      <c r="A419" s="478"/>
      <c r="B419" s="478"/>
      <c r="C419" s="478"/>
      <c r="D419" s="478"/>
      <c r="E419" s="478"/>
      <c r="F419" s="478"/>
      <c r="G419" s="478"/>
      <c r="H419" s="478"/>
      <c r="I419" s="478"/>
    </row>
    <row r="420" spans="1:9" ht="20.25">
      <c r="A420" s="478"/>
      <c r="B420" s="478"/>
      <c r="C420" s="478"/>
      <c r="D420" s="478"/>
      <c r="E420" s="478"/>
      <c r="F420" s="478"/>
      <c r="G420" s="478"/>
      <c r="H420" s="478"/>
      <c r="I420" s="478"/>
    </row>
    <row r="421" spans="1:9" ht="20.25">
      <c r="A421" s="478"/>
      <c r="B421" s="478"/>
      <c r="C421" s="478"/>
      <c r="D421" s="478"/>
      <c r="E421" s="478"/>
      <c r="F421" s="478"/>
      <c r="G421" s="478"/>
      <c r="H421" s="478"/>
      <c r="I421" s="478"/>
    </row>
    <row r="422" spans="1:9" ht="20.25">
      <c r="A422" s="478"/>
      <c r="B422" s="478"/>
      <c r="C422" s="478"/>
      <c r="D422" s="478"/>
      <c r="E422" s="478"/>
      <c r="F422" s="478"/>
      <c r="G422" s="478"/>
      <c r="H422" s="478"/>
      <c r="I422" s="478"/>
    </row>
    <row r="423" spans="1:9" ht="20.25">
      <c r="A423" s="478"/>
      <c r="B423" s="478"/>
      <c r="C423" s="478"/>
      <c r="D423" s="478"/>
      <c r="E423" s="478"/>
      <c r="F423" s="478"/>
      <c r="G423" s="478"/>
      <c r="H423" s="478"/>
      <c r="I423" s="478"/>
    </row>
    <row r="424" spans="1:9" ht="20.25">
      <c r="A424" s="478"/>
      <c r="B424" s="478"/>
      <c r="C424" s="478"/>
      <c r="D424" s="478"/>
      <c r="E424" s="478"/>
      <c r="F424" s="478"/>
      <c r="G424" s="478"/>
      <c r="H424" s="478"/>
      <c r="I424" s="478"/>
    </row>
    <row r="425" spans="1:9" ht="20.25">
      <c r="A425" s="478"/>
      <c r="B425" s="478"/>
      <c r="C425" s="478"/>
      <c r="D425" s="478"/>
      <c r="E425" s="478"/>
      <c r="F425" s="478"/>
      <c r="G425" s="478"/>
      <c r="H425" s="478"/>
      <c r="I425" s="478"/>
    </row>
    <row r="426" spans="1:9" ht="20.25">
      <c r="A426" s="478"/>
      <c r="B426" s="478"/>
      <c r="C426" s="478"/>
      <c r="D426" s="478"/>
      <c r="E426" s="478"/>
      <c r="F426" s="478"/>
      <c r="G426" s="478"/>
      <c r="H426" s="478"/>
      <c r="I426" s="478"/>
    </row>
    <row r="427" spans="1:9" ht="20.25">
      <c r="A427" s="478"/>
      <c r="B427" s="478"/>
      <c r="C427" s="478"/>
      <c r="D427" s="478"/>
      <c r="E427" s="478"/>
      <c r="F427" s="478"/>
      <c r="G427" s="478"/>
      <c r="H427" s="478"/>
      <c r="I427" s="478"/>
    </row>
    <row r="428" spans="1:9" ht="20.25">
      <c r="A428" s="478"/>
      <c r="B428" s="478"/>
      <c r="C428" s="478"/>
      <c r="D428" s="478"/>
      <c r="E428" s="478"/>
      <c r="F428" s="478"/>
      <c r="G428" s="478"/>
      <c r="H428" s="478"/>
      <c r="I428" s="478"/>
    </row>
    <row r="429" spans="1:9" ht="20.25">
      <c r="A429" s="478"/>
      <c r="B429" s="478"/>
      <c r="C429" s="478"/>
      <c r="D429" s="478"/>
      <c r="E429" s="478"/>
      <c r="F429" s="478"/>
      <c r="G429" s="478"/>
      <c r="H429" s="478"/>
      <c r="I429" s="478"/>
    </row>
    <row r="430" spans="1:9" ht="20.25">
      <c r="A430" s="478"/>
      <c r="B430" s="478"/>
      <c r="C430" s="478"/>
      <c r="D430" s="478"/>
      <c r="E430" s="478"/>
      <c r="F430" s="478"/>
      <c r="G430" s="478"/>
      <c r="H430" s="478"/>
      <c r="I430" s="478"/>
    </row>
    <row r="431" spans="1:9" ht="20.25">
      <c r="A431" s="478"/>
      <c r="B431" s="478"/>
      <c r="C431" s="478"/>
      <c r="D431" s="478"/>
      <c r="E431" s="478"/>
      <c r="F431" s="478"/>
      <c r="G431" s="478"/>
      <c r="H431" s="478"/>
      <c r="I431" s="478"/>
    </row>
    <row r="432" spans="1:9" ht="20.25">
      <c r="A432" s="478"/>
      <c r="B432" s="478"/>
      <c r="C432" s="478"/>
      <c r="D432" s="478"/>
      <c r="E432" s="478"/>
      <c r="F432" s="478"/>
      <c r="G432" s="478"/>
      <c r="H432" s="478"/>
      <c r="I432" s="478"/>
    </row>
    <row r="433" spans="1:9" ht="20.25">
      <c r="A433" s="478"/>
      <c r="B433" s="478"/>
      <c r="C433" s="478"/>
      <c r="D433" s="478"/>
      <c r="E433" s="478"/>
      <c r="F433" s="478"/>
      <c r="G433" s="478"/>
      <c r="H433" s="478"/>
      <c r="I433" s="478"/>
    </row>
    <row r="434" spans="1:9" ht="20.25">
      <c r="A434" s="478"/>
      <c r="B434" s="478"/>
      <c r="C434" s="478"/>
      <c r="D434" s="478"/>
      <c r="E434" s="478"/>
      <c r="F434" s="478"/>
      <c r="G434" s="478"/>
      <c r="H434" s="478"/>
      <c r="I434" s="478"/>
    </row>
    <row r="435" spans="1:9" ht="20.25">
      <c r="A435" s="478"/>
      <c r="B435" s="478"/>
      <c r="C435" s="478"/>
      <c r="D435" s="478"/>
      <c r="E435" s="478"/>
      <c r="F435" s="478"/>
      <c r="G435" s="478"/>
      <c r="H435" s="478"/>
      <c r="I435" s="478"/>
    </row>
    <row r="436" spans="1:9" ht="20.25">
      <c r="A436" s="478"/>
      <c r="B436" s="478"/>
      <c r="C436" s="478"/>
      <c r="D436" s="478"/>
      <c r="E436" s="478"/>
      <c r="F436" s="478"/>
      <c r="G436" s="478"/>
      <c r="H436" s="478"/>
      <c r="I436" s="478"/>
    </row>
    <row r="437" spans="1:9" ht="20.25">
      <c r="A437" s="478"/>
      <c r="B437" s="478"/>
      <c r="C437" s="478"/>
      <c r="D437" s="478"/>
      <c r="E437" s="478"/>
      <c r="F437" s="478"/>
      <c r="G437" s="478"/>
      <c r="H437" s="478"/>
      <c r="I437" s="478"/>
    </row>
    <row r="438" spans="1:9" ht="20.25">
      <c r="A438" s="478"/>
      <c r="B438" s="478"/>
      <c r="C438" s="478"/>
      <c r="D438" s="478"/>
      <c r="E438" s="478"/>
      <c r="F438" s="478"/>
      <c r="G438" s="478"/>
      <c r="H438" s="478"/>
      <c r="I438" s="478"/>
    </row>
    <row r="439" spans="1:9" ht="20.25">
      <c r="A439" s="478"/>
      <c r="B439" s="478"/>
      <c r="C439" s="478"/>
      <c r="D439" s="478"/>
      <c r="E439" s="478"/>
      <c r="F439" s="478"/>
      <c r="G439" s="478"/>
      <c r="H439" s="478"/>
      <c r="I439" s="478"/>
    </row>
    <row r="440" spans="1:9" ht="20.25">
      <c r="A440" s="478"/>
      <c r="B440" s="478"/>
      <c r="C440" s="478"/>
      <c r="D440" s="478"/>
      <c r="E440" s="478"/>
      <c r="F440" s="478"/>
      <c r="G440" s="478"/>
      <c r="H440" s="478"/>
      <c r="I440" s="478"/>
    </row>
    <row r="441" spans="1:9" ht="20.25">
      <c r="A441" s="478"/>
      <c r="B441" s="478"/>
      <c r="C441" s="478"/>
      <c r="D441" s="478"/>
      <c r="E441" s="478"/>
      <c r="F441" s="478"/>
      <c r="G441" s="478"/>
      <c r="H441" s="478"/>
      <c r="I441" s="478"/>
    </row>
    <row r="442" spans="1:9" ht="20.25">
      <c r="A442" s="478"/>
      <c r="B442" s="478"/>
      <c r="C442" s="478"/>
      <c r="D442" s="478"/>
      <c r="E442" s="478"/>
      <c r="F442" s="478"/>
      <c r="G442" s="478"/>
      <c r="H442" s="478"/>
      <c r="I442" s="478"/>
    </row>
    <row r="443" spans="1:9" ht="20.25">
      <c r="A443" s="478"/>
      <c r="B443" s="478"/>
      <c r="C443" s="478"/>
      <c r="D443" s="478"/>
      <c r="E443" s="478"/>
      <c r="F443" s="478"/>
      <c r="G443" s="478"/>
      <c r="H443" s="478"/>
      <c r="I443" s="478"/>
    </row>
    <row r="444" spans="1:9" ht="20.25">
      <c r="A444" s="478"/>
      <c r="B444" s="478"/>
      <c r="C444" s="478"/>
      <c r="D444" s="478"/>
      <c r="E444" s="478"/>
      <c r="F444" s="478"/>
      <c r="G444" s="478"/>
      <c r="H444" s="478"/>
      <c r="I444" s="478"/>
    </row>
    <row r="445" spans="1:9" ht="20.25">
      <c r="A445" s="478"/>
      <c r="B445" s="478"/>
      <c r="C445" s="478"/>
      <c r="D445" s="478"/>
      <c r="E445" s="478"/>
      <c r="F445" s="478"/>
      <c r="G445" s="478"/>
      <c r="H445" s="478"/>
      <c r="I445" s="478"/>
    </row>
    <row r="446" spans="1:9" ht="20.25">
      <c r="A446" s="478"/>
      <c r="B446" s="478"/>
      <c r="C446" s="478"/>
      <c r="D446" s="478"/>
      <c r="E446" s="478"/>
      <c r="F446" s="478"/>
      <c r="G446" s="478"/>
      <c r="H446" s="478"/>
      <c r="I446" s="478"/>
    </row>
    <row r="447" spans="1:9" ht="20.25">
      <c r="A447" s="478"/>
      <c r="B447" s="478"/>
      <c r="C447" s="478"/>
      <c r="D447" s="478"/>
      <c r="E447" s="478"/>
      <c r="F447" s="478"/>
      <c r="G447" s="478"/>
      <c r="H447" s="478"/>
      <c r="I447" s="478"/>
    </row>
    <row r="448" spans="1:9" ht="20.25">
      <c r="A448" s="478"/>
      <c r="B448" s="478"/>
      <c r="C448" s="478"/>
      <c r="D448" s="478"/>
      <c r="E448" s="478"/>
      <c r="F448" s="478"/>
      <c r="G448" s="478"/>
      <c r="H448" s="478"/>
      <c r="I448" s="478"/>
    </row>
    <row r="449" spans="1:9" ht="20.25">
      <c r="A449" s="478"/>
      <c r="B449" s="478"/>
      <c r="C449" s="478"/>
      <c r="D449" s="478"/>
      <c r="E449" s="478"/>
      <c r="F449" s="478"/>
      <c r="G449" s="478"/>
      <c r="H449" s="478"/>
      <c r="I449" s="478"/>
    </row>
    <row r="450" spans="1:9" ht="20.25">
      <c r="A450" s="478"/>
      <c r="B450" s="478"/>
      <c r="C450" s="478"/>
      <c r="D450" s="478"/>
      <c r="E450" s="478"/>
      <c r="F450" s="478"/>
      <c r="G450" s="478"/>
      <c r="H450" s="478"/>
      <c r="I450" s="478"/>
    </row>
    <row r="451" spans="1:9" ht="20.25">
      <c r="A451" s="478"/>
      <c r="B451" s="478"/>
      <c r="C451" s="478"/>
      <c r="D451" s="478"/>
      <c r="E451" s="478"/>
      <c r="F451" s="478"/>
      <c r="G451" s="478"/>
      <c r="H451" s="478"/>
      <c r="I451" s="478"/>
    </row>
    <row r="452" spans="1:9" ht="20.25">
      <c r="A452" s="478"/>
      <c r="B452" s="478"/>
      <c r="C452" s="478"/>
      <c r="D452" s="478"/>
      <c r="E452" s="478"/>
      <c r="F452" s="478"/>
      <c r="G452" s="478"/>
      <c r="H452" s="478"/>
      <c r="I452" s="478"/>
    </row>
    <row r="453" spans="1:9" ht="20.25">
      <c r="A453" s="478"/>
      <c r="B453" s="478"/>
      <c r="C453" s="478"/>
      <c r="D453" s="478"/>
      <c r="E453" s="478"/>
      <c r="F453" s="478"/>
      <c r="G453" s="478"/>
      <c r="H453" s="478"/>
      <c r="I453" s="478"/>
    </row>
    <row r="454" spans="1:9" ht="20.25">
      <c r="A454" s="478"/>
      <c r="B454" s="478"/>
      <c r="C454" s="478"/>
      <c r="D454" s="478"/>
      <c r="E454" s="478"/>
      <c r="F454" s="478"/>
      <c r="G454" s="478"/>
      <c r="H454" s="478"/>
      <c r="I454" s="478"/>
    </row>
    <row r="455" spans="1:9" ht="20.25">
      <c r="A455" s="478"/>
      <c r="B455" s="478"/>
      <c r="C455" s="478"/>
      <c r="D455" s="478"/>
      <c r="E455" s="478"/>
      <c r="F455" s="478"/>
      <c r="G455" s="478"/>
      <c r="H455" s="478"/>
      <c r="I455" s="478"/>
    </row>
    <row r="456" spans="1:9" ht="20.25">
      <c r="A456" s="478"/>
      <c r="B456" s="478"/>
      <c r="C456" s="478"/>
      <c r="D456" s="478"/>
      <c r="E456" s="478"/>
      <c r="F456" s="478"/>
      <c r="G456" s="478"/>
      <c r="H456" s="478"/>
      <c r="I456" s="478"/>
    </row>
    <row r="457" spans="1:9" ht="20.25">
      <c r="A457" s="478"/>
      <c r="B457" s="478"/>
      <c r="C457" s="478"/>
      <c r="D457" s="478"/>
      <c r="E457" s="478"/>
      <c r="F457" s="478"/>
      <c r="G457" s="478"/>
      <c r="H457" s="478"/>
      <c r="I457" s="478"/>
    </row>
    <row r="458" spans="1:9" ht="20.25">
      <c r="A458" s="478"/>
      <c r="B458" s="478"/>
      <c r="C458" s="478"/>
      <c r="D458" s="478"/>
      <c r="E458" s="478"/>
      <c r="F458" s="478"/>
      <c r="G458" s="478"/>
      <c r="H458" s="478"/>
      <c r="I458" s="478"/>
    </row>
    <row r="459" spans="1:9" ht="20.25">
      <c r="A459" s="478"/>
      <c r="B459" s="478"/>
      <c r="C459" s="478"/>
      <c r="D459" s="478"/>
      <c r="E459" s="478"/>
      <c r="F459" s="478"/>
      <c r="G459" s="478"/>
      <c r="H459" s="478"/>
      <c r="I459" s="478"/>
    </row>
    <row r="460" spans="1:9" ht="20.25">
      <c r="A460" s="478"/>
      <c r="B460" s="478"/>
      <c r="C460" s="478"/>
      <c r="D460" s="478"/>
      <c r="E460" s="478"/>
      <c r="F460" s="478"/>
      <c r="G460" s="478"/>
      <c r="H460" s="478"/>
      <c r="I460" s="478"/>
    </row>
    <row r="461" spans="1:9" ht="20.25">
      <c r="A461" s="478"/>
      <c r="B461" s="478"/>
      <c r="C461" s="478"/>
      <c r="D461" s="478"/>
      <c r="E461" s="478"/>
      <c r="F461" s="478"/>
      <c r="G461" s="478"/>
      <c r="H461" s="478"/>
      <c r="I461" s="478"/>
    </row>
    <row r="462" spans="1:9" ht="20.25">
      <c r="A462" s="478"/>
      <c r="B462" s="478"/>
      <c r="C462" s="478"/>
      <c r="D462" s="478"/>
      <c r="E462" s="478"/>
      <c r="F462" s="478"/>
      <c r="G462" s="478"/>
      <c r="H462" s="478"/>
      <c r="I462" s="478"/>
    </row>
    <row r="463" spans="1:9" ht="20.25">
      <c r="A463" s="478"/>
      <c r="B463" s="478"/>
      <c r="C463" s="478"/>
      <c r="D463" s="478"/>
      <c r="E463" s="478"/>
      <c r="F463" s="478"/>
      <c r="G463" s="478"/>
      <c r="H463" s="478"/>
      <c r="I463" s="478"/>
    </row>
    <row r="464" spans="1:9" ht="20.25">
      <c r="A464" s="478"/>
      <c r="B464" s="478"/>
      <c r="C464" s="478"/>
      <c r="D464" s="478"/>
      <c r="E464" s="478"/>
      <c r="F464" s="478"/>
      <c r="G464" s="478"/>
      <c r="H464" s="478"/>
      <c r="I464" s="478"/>
    </row>
    <row r="465" spans="1:9" ht="20.25">
      <c r="A465" s="478"/>
      <c r="B465" s="478"/>
      <c r="C465" s="478"/>
      <c r="D465" s="478"/>
      <c r="E465" s="478"/>
      <c r="F465" s="478"/>
      <c r="G465" s="478"/>
      <c r="H465" s="478"/>
      <c r="I465" s="478"/>
    </row>
    <row r="466" spans="1:9" ht="20.25">
      <c r="A466" s="478"/>
      <c r="B466" s="478"/>
      <c r="C466" s="478"/>
      <c r="D466" s="478"/>
      <c r="E466" s="478"/>
      <c r="F466" s="478"/>
      <c r="G466" s="478"/>
      <c r="H466" s="478"/>
      <c r="I466" s="478"/>
    </row>
    <row r="467" spans="1:9" ht="20.25">
      <c r="A467" s="478"/>
      <c r="B467" s="478"/>
      <c r="C467" s="478"/>
      <c r="D467" s="478"/>
      <c r="E467" s="478"/>
      <c r="F467" s="478"/>
      <c r="G467" s="478"/>
      <c r="H467" s="478"/>
      <c r="I467" s="478"/>
    </row>
    <row r="468" spans="1:9" ht="20.25">
      <c r="A468" s="478"/>
      <c r="B468" s="478"/>
      <c r="C468" s="478"/>
      <c r="D468" s="478"/>
      <c r="E468" s="478"/>
      <c r="F468" s="478"/>
      <c r="G468" s="478"/>
      <c r="H468" s="478"/>
      <c r="I468" s="478"/>
    </row>
    <row r="469" spans="1:9" ht="20.25">
      <c r="A469" s="478"/>
      <c r="B469" s="478"/>
      <c r="C469" s="478"/>
      <c r="D469" s="478"/>
      <c r="E469" s="478"/>
      <c r="F469" s="478"/>
      <c r="G469" s="478"/>
      <c r="H469" s="478"/>
      <c r="I469" s="478"/>
    </row>
    <row r="470" spans="1:9" ht="20.25">
      <c r="A470" s="478"/>
      <c r="B470" s="478"/>
      <c r="C470" s="478"/>
      <c r="D470" s="478"/>
      <c r="E470" s="478"/>
      <c r="F470" s="478"/>
      <c r="G470" s="478"/>
      <c r="H470" s="478"/>
      <c r="I470" s="478"/>
    </row>
    <row r="471" spans="1:9" ht="20.25">
      <c r="A471" s="478"/>
      <c r="B471" s="478"/>
      <c r="C471" s="478"/>
      <c r="D471" s="478"/>
      <c r="E471" s="478"/>
      <c r="F471" s="478"/>
      <c r="G471" s="478"/>
      <c r="H471" s="478"/>
      <c r="I471" s="478"/>
    </row>
    <row r="472" spans="1:9" ht="20.25">
      <c r="A472" s="478"/>
      <c r="B472" s="478"/>
      <c r="C472" s="478"/>
      <c r="D472" s="478"/>
      <c r="E472" s="478"/>
      <c r="F472" s="478"/>
      <c r="G472" s="478"/>
      <c r="H472" s="478"/>
      <c r="I472" s="478"/>
    </row>
    <row r="473" spans="1:9" ht="20.25">
      <c r="A473" s="478"/>
      <c r="B473" s="478"/>
      <c r="C473" s="478"/>
      <c r="D473" s="478"/>
      <c r="E473" s="478"/>
      <c r="F473" s="478"/>
      <c r="G473" s="478"/>
      <c r="H473" s="478"/>
      <c r="I473" s="478"/>
    </row>
    <row r="474" spans="1:9" ht="20.25">
      <c r="A474" s="478"/>
      <c r="B474" s="478"/>
      <c r="C474" s="478"/>
      <c r="D474" s="478"/>
      <c r="E474" s="478"/>
      <c r="F474" s="478"/>
      <c r="G474" s="478"/>
      <c r="H474" s="478"/>
      <c r="I474" s="478"/>
    </row>
    <row r="475" spans="1:9" ht="20.25">
      <c r="A475" s="478"/>
      <c r="B475" s="478"/>
      <c r="C475" s="478"/>
      <c r="D475" s="478"/>
      <c r="E475" s="478"/>
      <c r="F475" s="478"/>
      <c r="G475" s="478"/>
      <c r="H475" s="478"/>
      <c r="I475" s="478"/>
    </row>
    <row r="476" spans="1:9" ht="20.25">
      <c r="A476" s="478"/>
      <c r="B476" s="478"/>
      <c r="C476" s="478"/>
      <c r="D476" s="478"/>
      <c r="E476" s="478"/>
      <c r="F476" s="478"/>
      <c r="G476" s="478"/>
      <c r="H476" s="478"/>
      <c r="I476" s="478"/>
    </row>
    <row r="477" spans="1:9" ht="20.25">
      <c r="A477" s="478"/>
      <c r="B477" s="478"/>
      <c r="C477" s="478"/>
      <c r="D477" s="478"/>
      <c r="E477" s="478"/>
      <c r="F477" s="478"/>
      <c r="G477" s="478"/>
      <c r="H477" s="478"/>
      <c r="I477" s="478"/>
    </row>
    <row r="478" spans="1:9" ht="20.25">
      <c r="A478" s="478"/>
      <c r="B478" s="478"/>
      <c r="C478" s="478"/>
      <c r="D478" s="478"/>
      <c r="E478" s="478"/>
      <c r="F478" s="478"/>
      <c r="G478" s="478"/>
      <c r="H478" s="478"/>
      <c r="I478" s="478"/>
    </row>
    <row r="479" spans="1:9" ht="20.25">
      <c r="A479" s="478"/>
      <c r="B479" s="478"/>
      <c r="C479" s="478"/>
      <c r="D479" s="478"/>
      <c r="E479" s="478"/>
      <c r="F479" s="478"/>
      <c r="G479" s="478"/>
      <c r="H479" s="478"/>
      <c r="I479" s="478"/>
    </row>
    <row r="480" spans="1:9" ht="20.25">
      <c r="A480" s="478"/>
      <c r="B480" s="478"/>
      <c r="C480" s="478"/>
      <c r="D480" s="478"/>
      <c r="E480" s="478"/>
      <c r="F480" s="478"/>
      <c r="G480" s="478"/>
      <c r="H480" s="478"/>
      <c r="I480" s="478"/>
    </row>
    <row r="481" spans="1:9" ht="20.25">
      <c r="A481" s="478"/>
      <c r="B481" s="478"/>
      <c r="C481" s="478"/>
      <c r="D481" s="478"/>
      <c r="E481" s="478"/>
      <c r="F481" s="478"/>
      <c r="G481" s="478"/>
      <c r="H481" s="478"/>
      <c r="I481" s="478"/>
    </row>
    <row r="482" spans="1:9" ht="20.25">
      <c r="A482" s="478"/>
      <c r="B482" s="478"/>
      <c r="C482" s="478"/>
      <c r="D482" s="478"/>
      <c r="E482" s="478"/>
      <c r="F482" s="478"/>
      <c r="G482" s="478"/>
      <c r="H482" s="478"/>
      <c r="I482" s="478"/>
    </row>
    <row r="483" spans="1:9" ht="20.25">
      <c r="A483" s="478"/>
      <c r="B483" s="478"/>
      <c r="C483" s="478"/>
      <c r="D483" s="478"/>
      <c r="E483" s="478"/>
      <c r="F483" s="478"/>
      <c r="G483" s="478"/>
      <c r="H483" s="478"/>
      <c r="I483" s="478"/>
    </row>
    <row r="484" spans="1:9" ht="20.25">
      <c r="A484" s="478"/>
      <c r="B484" s="478"/>
      <c r="C484" s="478"/>
      <c r="D484" s="478"/>
      <c r="E484" s="478"/>
      <c r="F484" s="478"/>
      <c r="G484" s="478"/>
      <c r="H484" s="478"/>
      <c r="I484" s="478"/>
    </row>
    <row r="485" spans="1:9" ht="20.25">
      <c r="A485" s="478"/>
      <c r="B485" s="478"/>
      <c r="C485" s="478"/>
      <c r="D485" s="478"/>
      <c r="E485" s="478"/>
      <c r="F485" s="478"/>
      <c r="G485" s="478"/>
      <c r="H485" s="478"/>
      <c r="I485" s="478"/>
    </row>
    <row r="486" spans="1:9" ht="20.25">
      <c r="A486" s="478"/>
      <c r="B486" s="478"/>
      <c r="C486" s="478"/>
      <c r="D486" s="478"/>
      <c r="E486" s="478"/>
      <c r="F486" s="478"/>
      <c r="G486" s="478"/>
      <c r="H486" s="478"/>
      <c r="I486" s="478"/>
    </row>
    <row r="487" spans="1:9" ht="20.25">
      <c r="A487" s="478"/>
      <c r="B487" s="478"/>
      <c r="C487" s="478"/>
      <c r="D487" s="478"/>
      <c r="E487" s="478"/>
      <c r="F487" s="478"/>
      <c r="G487" s="478"/>
      <c r="H487" s="478"/>
      <c r="I487" s="478"/>
    </row>
    <row r="488" spans="1:9" ht="20.25">
      <c r="A488" s="478"/>
      <c r="B488" s="478"/>
      <c r="C488" s="478"/>
      <c r="D488" s="478"/>
      <c r="E488" s="478"/>
      <c r="F488" s="478"/>
      <c r="G488" s="478"/>
      <c r="H488" s="478"/>
      <c r="I488" s="478"/>
    </row>
    <row r="489" spans="1:9" ht="20.25">
      <c r="A489" s="478"/>
      <c r="B489" s="478"/>
      <c r="C489" s="478"/>
      <c r="D489" s="478"/>
      <c r="E489" s="478"/>
      <c r="F489" s="478"/>
      <c r="G489" s="478"/>
      <c r="H489" s="478"/>
      <c r="I489" s="478"/>
    </row>
    <row r="490" spans="1:9" ht="20.25">
      <c r="A490" s="478"/>
      <c r="B490" s="478"/>
      <c r="C490" s="478"/>
      <c r="D490" s="478"/>
      <c r="E490" s="478"/>
      <c r="F490" s="478"/>
      <c r="G490" s="478"/>
      <c r="H490" s="478"/>
      <c r="I490" s="478"/>
    </row>
    <row r="491" spans="1:9" ht="20.25">
      <c r="A491" s="478"/>
      <c r="B491" s="478"/>
      <c r="C491" s="478"/>
      <c r="D491" s="478"/>
      <c r="E491" s="478"/>
      <c r="F491" s="478"/>
      <c r="G491" s="478"/>
      <c r="H491" s="478"/>
      <c r="I491" s="478"/>
    </row>
    <row r="492" spans="1:9" ht="20.25">
      <c r="A492" s="478"/>
      <c r="B492" s="478"/>
      <c r="C492" s="478"/>
      <c r="D492" s="478"/>
      <c r="E492" s="478"/>
      <c r="F492" s="478"/>
      <c r="G492" s="478"/>
      <c r="H492" s="478"/>
      <c r="I492" s="478"/>
    </row>
    <row r="493" spans="1:9" ht="20.25">
      <c r="A493" s="478"/>
      <c r="B493" s="478"/>
      <c r="C493" s="478"/>
      <c r="D493" s="478"/>
      <c r="E493" s="478"/>
      <c r="F493" s="478"/>
      <c r="G493" s="478"/>
      <c r="H493" s="478"/>
      <c r="I493" s="478"/>
    </row>
    <row r="494" spans="1:9" ht="20.25">
      <c r="A494" s="478"/>
      <c r="B494" s="478"/>
      <c r="C494" s="478"/>
      <c r="D494" s="478"/>
      <c r="E494" s="478"/>
      <c r="F494" s="478"/>
      <c r="G494" s="478"/>
      <c r="H494" s="478"/>
      <c r="I494" s="478"/>
    </row>
    <row r="495" spans="1:9" ht="20.25">
      <c r="A495" s="478"/>
      <c r="B495" s="478"/>
      <c r="C495" s="478"/>
      <c r="D495" s="478"/>
      <c r="E495" s="478"/>
      <c r="F495" s="478"/>
      <c r="G495" s="478"/>
      <c r="H495" s="478"/>
      <c r="I495" s="478"/>
    </row>
    <row r="496" spans="1:9" ht="20.25">
      <c r="A496" s="478"/>
      <c r="B496" s="478"/>
      <c r="C496" s="478"/>
      <c r="D496" s="478"/>
      <c r="E496" s="478"/>
      <c r="F496" s="478"/>
      <c r="G496" s="478"/>
      <c r="H496" s="478"/>
      <c r="I496" s="478"/>
    </row>
    <row r="497" spans="1:9" ht="20.25">
      <c r="A497" s="478"/>
      <c r="B497" s="478"/>
      <c r="C497" s="478"/>
      <c r="D497" s="478"/>
      <c r="E497" s="478"/>
      <c r="F497" s="478"/>
      <c r="G497" s="478"/>
      <c r="H497" s="478"/>
      <c r="I497" s="478"/>
    </row>
    <row r="498" spans="1:9" ht="20.25">
      <c r="A498" s="478"/>
      <c r="B498" s="478"/>
      <c r="C498" s="478"/>
      <c r="D498" s="478"/>
      <c r="E498" s="478"/>
      <c r="F498" s="478"/>
      <c r="G498" s="478"/>
      <c r="H498" s="478"/>
      <c r="I498" s="478"/>
    </row>
    <row r="499" spans="1:9" ht="20.25">
      <c r="A499" s="478"/>
      <c r="B499" s="478"/>
      <c r="C499" s="478"/>
      <c r="D499" s="478"/>
      <c r="E499" s="478"/>
      <c r="F499" s="478"/>
      <c r="G499" s="478"/>
      <c r="H499" s="478"/>
      <c r="I499" s="478"/>
    </row>
    <row r="500" spans="1:9" ht="20.25">
      <c r="A500" s="478"/>
      <c r="B500" s="478"/>
      <c r="C500" s="478"/>
      <c r="D500" s="478"/>
      <c r="E500" s="478"/>
      <c r="F500" s="478"/>
      <c r="G500" s="478"/>
      <c r="H500" s="478"/>
      <c r="I500" s="478"/>
    </row>
    <row r="501" spans="1:9" ht="20.25">
      <c r="A501" s="478"/>
      <c r="B501" s="478"/>
      <c r="C501" s="478"/>
      <c r="D501" s="478"/>
      <c r="E501" s="478"/>
      <c r="F501" s="478"/>
      <c r="G501" s="478"/>
      <c r="H501" s="478"/>
      <c r="I501" s="478"/>
    </row>
    <row r="502" spans="1:9" ht="20.25">
      <c r="A502" s="478"/>
      <c r="B502" s="478"/>
      <c r="C502" s="478"/>
      <c r="D502" s="478"/>
      <c r="E502" s="478"/>
      <c r="F502" s="478"/>
      <c r="G502" s="478"/>
      <c r="H502" s="478"/>
      <c r="I502" s="478"/>
    </row>
    <row r="503" spans="1:9" ht="20.25">
      <c r="A503" s="478"/>
      <c r="B503" s="478"/>
      <c r="C503" s="478"/>
      <c r="D503" s="478"/>
      <c r="E503" s="478"/>
      <c r="F503" s="478"/>
      <c r="G503" s="478"/>
      <c r="H503" s="478"/>
      <c r="I503" s="478"/>
    </row>
    <row r="504" spans="1:9" ht="20.25">
      <c r="A504" s="478"/>
      <c r="B504" s="478"/>
      <c r="C504" s="478"/>
      <c r="D504" s="478"/>
      <c r="E504" s="478"/>
      <c r="F504" s="478"/>
      <c r="G504" s="478"/>
      <c r="H504" s="478"/>
      <c r="I504" s="478"/>
    </row>
    <row r="505" spans="1:9" ht="20.25">
      <c r="A505" s="478"/>
      <c r="B505" s="478"/>
      <c r="C505" s="478"/>
      <c r="D505" s="478"/>
      <c r="E505" s="478"/>
      <c r="F505" s="478"/>
      <c r="G505" s="478"/>
      <c r="H505" s="478"/>
      <c r="I505" s="478"/>
    </row>
    <row r="506" spans="1:9" ht="20.25">
      <c r="A506" s="478"/>
      <c r="B506" s="478"/>
      <c r="C506" s="478"/>
      <c r="D506" s="478"/>
      <c r="E506" s="478"/>
      <c r="F506" s="478"/>
      <c r="G506" s="478"/>
      <c r="H506" s="478"/>
      <c r="I506" s="478"/>
    </row>
    <row r="507" spans="1:9" ht="20.25">
      <c r="A507" s="478"/>
      <c r="B507" s="478"/>
      <c r="C507" s="478"/>
      <c r="D507" s="478"/>
      <c r="E507" s="478"/>
      <c r="F507" s="478"/>
      <c r="G507" s="478"/>
      <c r="H507" s="478"/>
      <c r="I507" s="478"/>
    </row>
    <row r="508" spans="1:9" ht="20.25">
      <c r="A508" s="478"/>
      <c r="B508" s="478"/>
      <c r="C508" s="478"/>
      <c r="D508" s="478"/>
      <c r="E508" s="478"/>
      <c r="F508" s="478"/>
      <c r="G508" s="478"/>
      <c r="H508" s="478"/>
      <c r="I508" s="478"/>
    </row>
    <row r="509" spans="1:9" ht="20.25">
      <c r="A509" s="478"/>
      <c r="B509" s="478"/>
      <c r="C509" s="478"/>
      <c r="D509" s="478"/>
      <c r="E509" s="478"/>
      <c r="F509" s="478"/>
      <c r="G509" s="478"/>
      <c r="H509" s="478"/>
      <c r="I509" s="478"/>
    </row>
    <row r="510" spans="1:9" ht="20.25">
      <c r="A510" s="478"/>
      <c r="B510" s="478"/>
      <c r="C510" s="478"/>
      <c r="D510" s="478"/>
      <c r="E510" s="478"/>
      <c r="F510" s="478"/>
      <c r="G510" s="478"/>
      <c r="H510" s="478"/>
      <c r="I510" s="478"/>
    </row>
    <row r="511" spans="1:9" ht="20.25">
      <c r="A511" s="478"/>
      <c r="B511" s="478"/>
      <c r="C511" s="478"/>
      <c r="D511" s="478"/>
      <c r="E511" s="478"/>
      <c r="F511" s="478"/>
      <c r="G511" s="478"/>
      <c r="H511" s="478"/>
      <c r="I511" s="478"/>
    </row>
    <row r="512" spans="1:9" ht="20.25">
      <c r="A512" s="478"/>
      <c r="B512" s="478"/>
      <c r="C512" s="478"/>
      <c r="D512" s="478"/>
      <c r="E512" s="478"/>
      <c r="F512" s="478"/>
      <c r="G512" s="478"/>
      <c r="H512" s="478"/>
      <c r="I512" s="478"/>
    </row>
    <row r="513" spans="1:9" ht="20.25">
      <c r="A513" s="478"/>
      <c r="B513" s="478"/>
      <c r="C513" s="478"/>
      <c r="D513" s="478"/>
      <c r="E513" s="478"/>
      <c r="F513" s="478"/>
      <c r="G513" s="478"/>
      <c r="H513" s="478"/>
      <c r="I513" s="478"/>
    </row>
    <row r="514" spans="1:9" ht="20.25">
      <c r="A514" s="478"/>
      <c r="B514" s="478"/>
      <c r="C514" s="478"/>
      <c r="D514" s="478"/>
      <c r="E514" s="478"/>
      <c r="F514" s="478"/>
      <c r="G514" s="478"/>
      <c r="H514" s="478"/>
      <c r="I514" s="478"/>
    </row>
    <row r="515" spans="1:9" ht="20.25">
      <c r="A515" s="478"/>
      <c r="B515" s="478"/>
      <c r="C515" s="478"/>
      <c r="D515" s="478"/>
      <c r="E515" s="478"/>
      <c r="F515" s="478"/>
      <c r="G515" s="478"/>
      <c r="H515" s="478"/>
      <c r="I515" s="478"/>
    </row>
    <row r="516" spans="1:9" ht="20.25">
      <c r="A516" s="478"/>
      <c r="B516" s="478"/>
      <c r="C516" s="478"/>
      <c r="D516" s="478"/>
      <c r="E516" s="478"/>
      <c r="F516" s="478"/>
      <c r="G516" s="478"/>
      <c r="H516" s="478"/>
      <c r="I516" s="478"/>
    </row>
    <row r="517" spans="1:9" ht="20.25">
      <c r="A517" s="478"/>
      <c r="B517" s="478"/>
      <c r="C517" s="478"/>
      <c r="D517" s="478"/>
      <c r="E517" s="478"/>
      <c r="F517" s="478"/>
      <c r="G517" s="478"/>
      <c r="H517" s="478"/>
      <c r="I517" s="478"/>
    </row>
    <row r="518" spans="1:9" ht="20.25">
      <c r="A518" s="478"/>
      <c r="B518" s="478"/>
      <c r="C518" s="478"/>
      <c r="D518" s="478"/>
      <c r="E518" s="478"/>
      <c r="F518" s="478"/>
      <c r="G518" s="478"/>
      <c r="H518" s="478"/>
      <c r="I518" s="478"/>
    </row>
    <row r="519" spans="1:9" ht="20.25">
      <c r="A519" s="478"/>
      <c r="B519" s="478"/>
      <c r="C519" s="478"/>
      <c r="D519" s="478"/>
      <c r="E519" s="478"/>
      <c r="F519" s="478"/>
      <c r="G519" s="478"/>
      <c r="H519" s="478"/>
      <c r="I519" s="478"/>
    </row>
    <row r="520" spans="1:9" ht="20.25">
      <c r="A520" s="478"/>
      <c r="B520" s="478"/>
      <c r="C520" s="478"/>
      <c r="D520" s="478"/>
      <c r="E520" s="478"/>
      <c r="F520" s="478"/>
      <c r="G520" s="478"/>
      <c r="H520" s="478"/>
      <c r="I520" s="478"/>
    </row>
    <row r="521" spans="1:9" ht="20.25">
      <c r="A521" s="478"/>
      <c r="B521" s="478"/>
      <c r="C521" s="478"/>
      <c r="D521" s="478"/>
      <c r="E521" s="478"/>
      <c r="F521" s="478"/>
      <c r="G521" s="478"/>
      <c r="H521" s="478"/>
      <c r="I521" s="478"/>
    </row>
    <row r="522" spans="1:9" ht="20.25">
      <c r="A522" s="478"/>
      <c r="B522" s="478"/>
      <c r="C522" s="478"/>
      <c r="D522" s="478"/>
      <c r="E522" s="478"/>
      <c r="F522" s="478"/>
      <c r="G522" s="478"/>
      <c r="H522" s="478"/>
      <c r="I522" s="478"/>
    </row>
    <row r="523" spans="1:9" ht="20.25">
      <c r="A523" s="478"/>
      <c r="B523" s="478"/>
      <c r="C523" s="478"/>
      <c r="D523" s="478"/>
      <c r="E523" s="478"/>
      <c r="F523" s="478"/>
      <c r="G523" s="478"/>
      <c r="H523" s="478"/>
      <c r="I523" s="478"/>
    </row>
    <row r="524" spans="1:9" ht="20.25">
      <c r="A524" s="478"/>
      <c r="B524" s="478"/>
      <c r="C524" s="478"/>
      <c r="D524" s="478"/>
      <c r="E524" s="478"/>
      <c r="F524" s="478"/>
      <c r="G524" s="478"/>
      <c r="H524" s="478"/>
      <c r="I524" s="478"/>
    </row>
    <row r="525" spans="1:9" ht="20.25">
      <c r="A525" s="478"/>
      <c r="B525" s="478"/>
      <c r="C525" s="478"/>
      <c r="D525" s="478"/>
      <c r="E525" s="478"/>
      <c r="F525" s="478"/>
      <c r="G525" s="478"/>
      <c r="H525" s="478"/>
      <c r="I525" s="478"/>
    </row>
    <row r="526" spans="1:9" ht="20.25">
      <c r="A526" s="478"/>
      <c r="B526" s="478"/>
      <c r="C526" s="478"/>
      <c r="D526" s="478"/>
      <c r="E526" s="478"/>
      <c r="F526" s="478"/>
      <c r="G526" s="478"/>
      <c r="H526" s="478"/>
      <c r="I526" s="478"/>
    </row>
    <row r="527" spans="1:9" ht="20.25">
      <c r="A527" s="478"/>
      <c r="B527" s="478"/>
      <c r="C527" s="478"/>
      <c r="D527" s="478"/>
      <c r="E527" s="478"/>
      <c r="F527" s="478"/>
      <c r="G527" s="478"/>
      <c r="H527" s="478"/>
      <c r="I527" s="478"/>
    </row>
    <row r="528" spans="1:9" ht="20.25">
      <c r="A528" s="478"/>
      <c r="B528" s="478"/>
      <c r="C528" s="478"/>
      <c r="D528" s="478"/>
      <c r="E528" s="478"/>
      <c r="F528" s="478"/>
      <c r="G528" s="478"/>
      <c r="H528" s="478"/>
      <c r="I528" s="478"/>
    </row>
    <row r="529" spans="1:9" ht="20.25">
      <c r="A529" s="478"/>
      <c r="B529" s="478"/>
      <c r="C529" s="478"/>
      <c r="D529" s="478"/>
      <c r="E529" s="478"/>
      <c r="F529" s="478"/>
      <c r="G529" s="478"/>
      <c r="H529" s="478"/>
      <c r="I529" s="478"/>
    </row>
    <row r="530" spans="1:9" ht="20.25">
      <c r="A530" s="478"/>
      <c r="B530" s="478"/>
      <c r="C530" s="478"/>
      <c r="D530" s="478"/>
      <c r="E530" s="478"/>
      <c r="F530" s="478"/>
      <c r="G530" s="478"/>
      <c r="H530" s="478"/>
      <c r="I530" s="478"/>
    </row>
    <row r="531" spans="1:9" ht="20.25">
      <c r="A531" s="478"/>
      <c r="B531" s="478"/>
      <c r="C531" s="478"/>
      <c r="D531" s="478"/>
      <c r="E531" s="478"/>
      <c r="F531" s="478"/>
      <c r="G531" s="478"/>
      <c r="H531" s="478"/>
      <c r="I531" s="478"/>
    </row>
    <row r="532" spans="1:9" ht="20.25">
      <c r="A532" s="478"/>
      <c r="B532" s="478"/>
      <c r="C532" s="478"/>
      <c r="D532" s="478"/>
      <c r="E532" s="478"/>
      <c r="F532" s="478"/>
      <c r="G532" s="478"/>
      <c r="H532" s="478"/>
      <c r="I532" s="478"/>
    </row>
    <row r="533" spans="1:9" ht="20.25">
      <c r="A533" s="478"/>
      <c r="B533" s="478"/>
      <c r="C533" s="478"/>
      <c r="D533" s="478"/>
      <c r="E533" s="478"/>
      <c r="F533" s="478"/>
      <c r="G533" s="478"/>
      <c r="H533" s="478"/>
      <c r="I533" s="478"/>
    </row>
    <row r="534" spans="1:9" ht="20.25">
      <c r="A534" s="478"/>
      <c r="B534" s="478"/>
      <c r="C534" s="478"/>
      <c r="D534" s="478"/>
      <c r="E534" s="478"/>
      <c r="F534" s="478"/>
      <c r="G534" s="478"/>
      <c r="H534" s="478"/>
      <c r="I534" s="478"/>
    </row>
    <row r="535" spans="1:9" ht="20.25">
      <c r="A535" s="478"/>
      <c r="B535" s="478"/>
      <c r="C535" s="478"/>
      <c r="D535" s="478"/>
      <c r="E535" s="478"/>
      <c r="F535" s="478"/>
      <c r="G535" s="478"/>
      <c r="H535" s="478"/>
      <c r="I535" s="478"/>
    </row>
    <row r="536" spans="1:9" ht="20.25">
      <c r="A536" s="478"/>
      <c r="B536" s="478"/>
      <c r="C536" s="478"/>
      <c r="D536" s="478"/>
      <c r="E536" s="478"/>
      <c r="F536" s="478"/>
      <c r="G536" s="478"/>
      <c r="H536" s="478"/>
      <c r="I536" s="478"/>
    </row>
    <row r="537" spans="1:9" ht="20.25">
      <c r="A537" s="478"/>
      <c r="B537" s="478"/>
      <c r="C537" s="478"/>
      <c r="D537" s="478"/>
      <c r="E537" s="478"/>
      <c r="F537" s="478"/>
      <c r="G537" s="478"/>
      <c r="H537" s="478"/>
      <c r="I537" s="478"/>
    </row>
    <row r="538" spans="1:9" ht="20.25">
      <c r="A538" s="478"/>
      <c r="B538" s="478"/>
      <c r="C538" s="478"/>
      <c r="D538" s="478"/>
      <c r="E538" s="478"/>
      <c r="F538" s="478"/>
      <c r="G538" s="478"/>
      <c r="H538" s="478"/>
      <c r="I538" s="478"/>
    </row>
    <row r="539" spans="1:9" ht="20.25">
      <c r="A539" s="478"/>
      <c r="B539" s="478"/>
      <c r="C539" s="478"/>
      <c r="D539" s="478"/>
      <c r="E539" s="478"/>
      <c r="F539" s="478"/>
      <c r="G539" s="478"/>
      <c r="H539" s="478"/>
      <c r="I539" s="478"/>
    </row>
    <row r="540" spans="1:9" ht="20.25">
      <c r="A540" s="478"/>
      <c r="B540" s="478"/>
      <c r="C540" s="478"/>
      <c r="D540" s="478"/>
      <c r="E540" s="478"/>
      <c r="F540" s="478"/>
      <c r="G540" s="478"/>
      <c r="H540" s="478"/>
      <c r="I540" s="478"/>
    </row>
    <row r="541" spans="1:9" ht="20.25">
      <c r="A541" s="478"/>
      <c r="B541" s="478"/>
      <c r="C541" s="478"/>
      <c r="D541" s="478"/>
      <c r="E541" s="478"/>
      <c r="F541" s="478"/>
      <c r="G541" s="478"/>
      <c r="H541" s="478"/>
      <c r="I541" s="478"/>
    </row>
    <row r="542" spans="1:9" ht="20.25">
      <c r="A542" s="478"/>
      <c r="B542" s="478"/>
      <c r="C542" s="478"/>
      <c r="D542" s="478"/>
      <c r="E542" s="478"/>
      <c r="F542" s="478"/>
      <c r="G542" s="478"/>
      <c r="H542" s="478"/>
      <c r="I542" s="478"/>
    </row>
    <row r="543" spans="1:9" ht="20.25">
      <c r="A543" s="478"/>
      <c r="B543" s="478"/>
      <c r="C543" s="478"/>
      <c r="D543" s="478"/>
      <c r="E543" s="478"/>
      <c r="F543" s="478"/>
      <c r="G543" s="478"/>
      <c r="H543" s="478"/>
      <c r="I543" s="478"/>
    </row>
    <row r="544" spans="1:9" ht="20.25">
      <c r="A544" s="478"/>
      <c r="B544" s="478"/>
      <c r="C544" s="478"/>
      <c r="D544" s="478"/>
      <c r="E544" s="478"/>
      <c r="F544" s="478"/>
      <c r="G544" s="478"/>
      <c r="H544" s="478"/>
      <c r="I544" s="478"/>
    </row>
    <row r="545" spans="1:9" ht="20.25">
      <c r="A545" s="478"/>
      <c r="B545" s="478"/>
      <c r="C545" s="478"/>
      <c r="D545" s="478"/>
      <c r="E545" s="478"/>
      <c r="F545" s="478"/>
      <c r="G545" s="478"/>
      <c r="H545" s="478"/>
      <c r="I545" s="478"/>
    </row>
    <row r="546" spans="1:9" ht="20.25">
      <c r="A546" s="478"/>
      <c r="B546" s="478"/>
      <c r="C546" s="478"/>
      <c r="D546" s="478"/>
      <c r="E546" s="478"/>
      <c r="F546" s="478"/>
      <c r="G546" s="478"/>
      <c r="H546" s="478"/>
      <c r="I546" s="478"/>
    </row>
    <row r="547" spans="1:9" ht="20.25">
      <c r="A547" s="478"/>
      <c r="B547" s="478"/>
      <c r="C547" s="478"/>
      <c r="D547" s="478"/>
      <c r="E547" s="478"/>
      <c r="F547" s="478"/>
      <c r="G547" s="478"/>
      <c r="H547" s="478"/>
      <c r="I547" s="478"/>
    </row>
    <row r="548" spans="1:9" ht="20.25">
      <c r="A548" s="478"/>
      <c r="B548" s="478"/>
      <c r="C548" s="478"/>
      <c r="D548" s="478"/>
      <c r="E548" s="478"/>
      <c r="F548" s="478"/>
      <c r="G548" s="478"/>
      <c r="H548" s="478"/>
      <c r="I548" s="478"/>
    </row>
    <row r="549" spans="1:9" ht="20.25">
      <c r="A549" s="478"/>
      <c r="B549" s="478"/>
      <c r="C549" s="478"/>
      <c r="D549" s="478"/>
      <c r="E549" s="478"/>
      <c r="F549" s="478"/>
      <c r="G549" s="478"/>
      <c r="H549" s="478"/>
      <c r="I549" s="478"/>
    </row>
    <row r="550" spans="1:9" ht="20.25">
      <c r="A550" s="478"/>
      <c r="B550" s="478"/>
      <c r="C550" s="478"/>
      <c r="D550" s="478"/>
      <c r="E550" s="478"/>
      <c r="F550" s="478"/>
      <c r="G550" s="478"/>
      <c r="H550" s="478"/>
      <c r="I550" s="478"/>
    </row>
    <row r="551" spans="1:9" ht="20.25">
      <c r="A551" s="478"/>
      <c r="B551" s="478"/>
      <c r="C551" s="478"/>
      <c r="D551" s="478"/>
      <c r="E551" s="478"/>
      <c r="F551" s="478"/>
      <c r="G551" s="478"/>
      <c r="H551" s="478"/>
      <c r="I551" s="478"/>
    </row>
    <row r="552" spans="1:9" ht="20.25">
      <c r="A552" s="478"/>
      <c r="B552" s="478"/>
      <c r="C552" s="478"/>
      <c r="D552" s="478"/>
      <c r="E552" s="478"/>
      <c r="F552" s="478"/>
      <c r="G552" s="478"/>
      <c r="H552" s="478"/>
      <c r="I552" s="478"/>
    </row>
    <row r="553" spans="1:9" ht="20.25">
      <c r="A553" s="478"/>
      <c r="B553" s="478"/>
      <c r="C553" s="478"/>
      <c r="D553" s="478"/>
      <c r="E553" s="478"/>
      <c r="F553" s="478"/>
      <c r="G553" s="478"/>
      <c r="H553" s="478"/>
      <c r="I553" s="478"/>
    </row>
    <row r="554" spans="1:9" ht="20.25">
      <c r="A554" s="478"/>
      <c r="B554" s="478"/>
      <c r="C554" s="478"/>
      <c r="D554" s="478"/>
      <c r="E554" s="478"/>
      <c r="F554" s="478"/>
      <c r="G554" s="478"/>
      <c r="H554" s="478"/>
      <c r="I554" s="478"/>
    </row>
    <row r="555" spans="1:9" ht="20.25">
      <c r="A555" s="478"/>
      <c r="B555" s="478"/>
      <c r="C555" s="478"/>
      <c r="D555" s="478"/>
      <c r="E555" s="478"/>
      <c r="F555" s="478"/>
      <c r="G555" s="478"/>
      <c r="H555" s="478"/>
      <c r="I555" s="478"/>
    </row>
    <row r="556" spans="1:9" ht="20.25">
      <c r="A556" s="478"/>
      <c r="B556" s="478"/>
      <c r="C556" s="478"/>
      <c r="D556" s="478"/>
      <c r="E556" s="478"/>
      <c r="F556" s="478"/>
      <c r="G556" s="478"/>
      <c r="H556" s="478"/>
      <c r="I556" s="478"/>
    </row>
    <row r="557" spans="1:9" ht="20.25">
      <c r="A557" s="478"/>
      <c r="B557" s="478"/>
      <c r="C557" s="478"/>
      <c r="D557" s="478"/>
      <c r="E557" s="478"/>
      <c r="F557" s="478"/>
      <c r="G557" s="478"/>
      <c r="H557" s="478"/>
      <c r="I557" s="478"/>
    </row>
    <row r="558" spans="1:9" ht="20.25">
      <c r="A558" s="478"/>
      <c r="B558" s="478"/>
      <c r="C558" s="478"/>
      <c r="D558" s="478"/>
      <c r="E558" s="478"/>
      <c r="F558" s="478"/>
      <c r="G558" s="478"/>
      <c r="H558" s="478"/>
      <c r="I558" s="478"/>
    </row>
    <row r="559" spans="1:9" ht="20.25">
      <c r="A559" s="478"/>
      <c r="B559" s="478"/>
      <c r="C559" s="478"/>
      <c r="D559" s="478"/>
      <c r="E559" s="478"/>
      <c r="F559" s="478"/>
      <c r="G559" s="478"/>
      <c r="H559" s="478"/>
      <c r="I559" s="478"/>
    </row>
    <row r="560" spans="1:9" ht="20.25">
      <c r="A560" s="478"/>
      <c r="B560" s="478"/>
      <c r="C560" s="478"/>
      <c r="D560" s="478"/>
      <c r="E560" s="478"/>
      <c r="F560" s="478"/>
      <c r="G560" s="478"/>
      <c r="H560" s="478"/>
      <c r="I560" s="478"/>
    </row>
    <row r="561" spans="1:9" ht="20.25">
      <c r="A561" s="478"/>
      <c r="B561" s="478"/>
      <c r="C561" s="478"/>
      <c r="D561" s="478"/>
      <c r="E561" s="478"/>
      <c r="F561" s="478"/>
      <c r="G561" s="478"/>
      <c r="H561" s="478"/>
      <c r="I561" s="478"/>
    </row>
    <row r="562" spans="1:9" ht="20.25">
      <c r="A562" s="478"/>
      <c r="B562" s="478"/>
      <c r="C562" s="478"/>
      <c r="D562" s="478"/>
      <c r="E562" s="478"/>
      <c r="F562" s="478"/>
      <c r="G562" s="478"/>
      <c r="H562" s="478"/>
      <c r="I562" s="478"/>
    </row>
    <row r="563" spans="1:9" ht="20.25">
      <c r="A563" s="478"/>
      <c r="B563" s="478"/>
      <c r="C563" s="478"/>
      <c r="D563" s="478"/>
      <c r="E563" s="478"/>
      <c r="F563" s="478"/>
      <c r="G563" s="478"/>
      <c r="H563" s="478"/>
      <c r="I563" s="478"/>
    </row>
    <row r="564" spans="1:9" ht="20.25">
      <c r="A564" s="478"/>
      <c r="B564" s="478"/>
      <c r="C564" s="478"/>
      <c r="D564" s="478"/>
      <c r="E564" s="478"/>
      <c r="F564" s="478"/>
      <c r="G564" s="478"/>
      <c r="H564" s="478"/>
      <c r="I564" s="478"/>
    </row>
    <row r="565" spans="1:9" ht="20.25">
      <c r="A565" s="478"/>
      <c r="B565" s="478"/>
      <c r="C565" s="478"/>
      <c r="D565" s="478"/>
      <c r="E565" s="478"/>
      <c r="F565" s="478"/>
      <c r="G565" s="478"/>
      <c r="H565" s="478"/>
      <c r="I565" s="478"/>
    </row>
    <row r="566" spans="1:9" ht="20.25">
      <c r="A566" s="478"/>
      <c r="B566" s="478"/>
      <c r="C566" s="478"/>
      <c r="D566" s="478"/>
      <c r="E566" s="478"/>
      <c r="F566" s="478"/>
      <c r="G566" s="478"/>
      <c r="H566" s="478"/>
      <c r="I566" s="478"/>
    </row>
    <row r="567" spans="1:9" ht="20.25">
      <c r="A567" s="478"/>
      <c r="B567" s="478"/>
      <c r="C567" s="478"/>
      <c r="D567" s="478"/>
      <c r="E567" s="478"/>
      <c r="F567" s="478"/>
      <c r="G567" s="478"/>
      <c r="H567" s="478"/>
      <c r="I567" s="478"/>
    </row>
    <row r="568" spans="1:9" ht="20.25">
      <c r="A568" s="478"/>
      <c r="B568" s="478"/>
      <c r="C568" s="478"/>
      <c r="D568" s="478"/>
      <c r="E568" s="478"/>
      <c r="F568" s="478"/>
      <c r="G568" s="478"/>
      <c r="H568" s="478"/>
      <c r="I568" s="478"/>
    </row>
    <row r="569" spans="1:9" ht="20.25">
      <c r="A569" s="478"/>
      <c r="B569" s="478"/>
      <c r="C569" s="478"/>
      <c r="D569" s="478"/>
      <c r="E569" s="478"/>
      <c r="F569" s="478"/>
      <c r="G569" s="478"/>
      <c r="H569" s="478"/>
      <c r="I569" s="478"/>
    </row>
    <row r="570" spans="1:9" ht="20.25">
      <c r="A570" s="478"/>
      <c r="B570" s="478"/>
      <c r="C570" s="478"/>
      <c r="D570" s="478"/>
      <c r="E570" s="478"/>
      <c r="F570" s="478"/>
      <c r="G570" s="478"/>
      <c r="H570" s="478"/>
      <c r="I570" s="478"/>
    </row>
    <row r="571" spans="1:9" ht="20.25">
      <c r="A571" s="478"/>
      <c r="B571" s="478"/>
      <c r="C571" s="478"/>
      <c r="D571" s="478"/>
      <c r="E571" s="478"/>
      <c r="F571" s="478"/>
      <c r="G571" s="478"/>
      <c r="H571" s="478"/>
      <c r="I571" s="478"/>
    </row>
    <row r="572" spans="1:9" ht="20.25">
      <c r="A572" s="478"/>
      <c r="B572" s="478"/>
      <c r="C572" s="478"/>
      <c r="D572" s="478"/>
      <c r="E572" s="478"/>
      <c r="F572" s="478"/>
      <c r="G572" s="478"/>
      <c r="H572" s="478"/>
      <c r="I572" s="478"/>
    </row>
    <row r="573" spans="1:9" ht="20.25">
      <c r="A573" s="478"/>
      <c r="B573" s="478"/>
      <c r="C573" s="478"/>
      <c r="D573" s="478"/>
      <c r="E573" s="478"/>
      <c r="F573" s="478"/>
      <c r="G573" s="478"/>
      <c r="H573" s="478"/>
      <c r="I573" s="478"/>
    </row>
    <row r="574" spans="1:9" ht="20.25">
      <c r="A574" s="478"/>
      <c r="B574" s="478"/>
      <c r="C574" s="478"/>
      <c r="D574" s="478"/>
      <c r="E574" s="478"/>
      <c r="F574" s="478"/>
      <c r="G574" s="478"/>
      <c r="H574" s="478"/>
      <c r="I574" s="478"/>
    </row>
    <row r="575" spans="1:9" ht="20.25">
      <c r="A575" s="478"/>
      <c r="B575" s="478"/>
      <c r="C575" s="478"/>
      <c r="D575" s="478"/>
      <c r="E575" s="478"/>
      <c r="F575" s="478"/>
      <c r="G575" s="478"/>
      <c r="H575" s="478"/>
      <c r="I575" s="478"/>
    </row>
    <row r="576" spans="1:9" ht="20.25">
      <c r="A576" s="478"/>
      <c r="B576" s="478"/>
      <c r="C576" s="478"/>
      <c r="D576" s="478"/>
      <c r="E576" s="478"/>
      <c r="F576" s="478"/>
      <c r="G576" s="478"/>
      <c r="H576" s="478"/>
      <c r="I576" s="478"/>
    </row>
    <row r="577" spans="1:9" ht="20.25">
      <c r="A577" s="478"/>
      <c r="B577" s="478"/>
      <c r="C577" s="478"/>
      <c r="D577" s="478"/>
      <c r="E577" s="478"/>
      <c r="F577" s="478"/>
      <c r="G577" s="478"/>
      <c r="H577" s="478"/>
      <c r="I577" s="478"/>
    </row>
    <row r="578" spans="1:9" ht="20.25">
      <c r="A578" s="478"/>
      <c r="B578" s="478"/>
      <c r="C578" s="478"/>
      <c r="D578" s="478"/>
      <c r="E578" s="478"/>
      <c r="F578" s="478"/>
      <c r="G578" s="478"/>
      <c r="H578" s="478"/>
      <c r="I578" s="478"/>
    </row>
    <row r="579" spans="1:9" ht="20.25">
      <c r="A579" s="478"/>
      <c r="B579" s="478"/>
      <c r="C579" s="478"/>
      <c r="D579" s="478"/>
      <c r="E579" s="478"/>
      <c r="F579" s="478"/>
      <c r="G579" s="478"/>
      <c r="H579" s="478"/>
      <c r="I579" s="478"/>
    </row>
    <row r="580" spans="1:9" ht="20.25">
      <c r="A580" s="478"/>
      <c r="B580" s="478"/>
      <c r="C580" s="478"/>
      <c r="D580" s="478"/>
      <c r="E580" s="478"/>
      <c r="F580" s="478"/>
      <c r="G580" s="478"/>
      <c r="H580" s="478"/>
      <c r="I580" s="478"/>
    </row>
    <row r="581" spans="1:9" ht="20.25">
      <c r="A581" s="478"/>
      <c r="B581" s="478"/>
      <c r="C581" s="478"/>
      <c r="D581" s="478"/>
      <c r="E581" s="478"/>
      <c r="F581" s="478"/>
      <c r="G581" s="478"/>
      <c r="H581" s="478"/>
      <c r="I581" s="478"/>
    </row>
    <row r="582" spans="1:9" ht="20.25">
      <c r="A582" s="478"/>
      <c r="B582" s="478"/>
      <c r="C582" s="478"/>
      <c r="D582" s="478"/>
      <c r="E582" s="478"/>
      <c r="F582" s="478"/>
      <c r="G582" s="478"/>
      <c r="H582" s="478"/>
      <c r="I582" s="478"/>
    </row>
    <row r="583" spans="1:9" ht="20.25">
      <c r="A583" s="478"/>
      <c r="B583" s="478"/>
      <c r="C583" s="478"/>
      <c r="D583" s="478"/>
      <c r="E583" s="478"/>
      <c r="F583" s="478"/>
      <c r="G583" s="478"/>
      <c r="H583" s="478"/>
      <c r="I583" s="478"/>
    </row>
    <row r="584" spans="1:9" ht="20.25">
      <c r="A584" s="478"/>
      <c r="B584" s="478"/>
      <c r="C584" s="478"/>
      <c r="D584" s="478"/>
      <c r="E584" s="478"/>
      <c r="F584" s="478"/>
      <c r="G584" s="478"/>
      <c r="H584" s="478"/>
      <c r="I584" s="478"/>
    </row>
    <row r="585" spans="1:9" ht="20.25">
      <c r="A585" s="478"/>
      <c r="B585" s="478"/>
      <c r="C585" s="478"/>
      <c r="D585" s="478"/>
      <c r="E585" s="478"/>
      <c r="F585" s="478"/>
      <c r="G585" s="478"/>
      <c r="H585" s="478"/>
      <c r="I585" s="478"/>
    </row>
    <row r="586" spans="1:9" ht="20.25">
      <c r="A586" s="478"/>
      <c r="B586" s="478"/>
      <c r="C586" s="478"/>
      <c r="D586" s="478"/>
      <c r="E586" s="478"/>
      <c r="F586" s="478"/>
      <c r="G586" s="478"/>
      <c r="H586" s="478"/>
      <c r="I586" s="478"/>
    </row>
    <row r="587" spans="1:9" ht="20.25">
      <c r="A587" s="478"/>
      <c r="B587" s="478"/>
      <c r="C587" s="478"/>
      <c r="D587" s="478"/>
      <c r="E587" s="478"/>
      <c r="F587" s="478"/>
      <c r="G587" s="478"/>
      <c r="H587" s="478"/>
      <c r="I587" s="478"/>
    </row>
    <row r="588" spans="1:9" ht="20.25">
      <c r="A588" s="478"/>
      <c r="B588" s="478"/>
      <c r="C588" s="478"/>
      <c r="D588" s="478"/>
      <c r="E588" s="478"/>
      <c r="F588" s="478"/>
      <c r="G588" s="478"/>
      <c r="H588" s="478"/>
      <c r="I588" s="478"/>
    </row>
    <row r="589" spans="1:9" ht="20.25">
      <c r="A589" s="478"/>
      <c r="B589" s="478"/>
      <c r="C589" s="478"/>
      <c r="D589" s="478"/>
      <c r="E589" s="478"/>
      <c r="F589" s="478"/>
      <c r="G589" s="478"/>
      <c r="H589" s="478"/>
      <c r="I589" s="478"/>
    </row>
    <row r="590" spans="1:9" ht="20.25">
      <c r="A590" s="478"/>
      <c r="B590" s="478"/>
      <c r="C590" s="478"/>
      <c r="D590" s="478"/>
      <c r="E590" s="478"/>
      <c r="F590" s="478"/>
      <c r="G590" s="478"/>
      <c r="H590" s="478"/>
      <c r="I590" s="478"/>
    </row>
    <row r="591" spans="1:9" ht="20.25">
      <c r="A591" s="478"/>
      <c r="B591" s="478"/>
      <c r="C591" s="478"/>
      <c r="D591" s="478"/>
      <c r="E591" s="478"/>
      <c r="F591" s="478"/>
      <c r="G591" s="478"/>
      <c r="H591" s="478"/>
      <c r="I591" s="478"/>
    </row>
    <row r="592" spans="1:9" ht="20.25">
      <c r="A592" s="478"/>
      <c r="B592" s="478"/>
      <c r="C592" s="478"/>
      <c r="D592" s="478"/>
      <c r="E592" s="478"/>
      <c r="F592" s="478"/>
      <c r="G592" s="478"/>
      <c r="H592" s="478"/>
      <c r="I592" s="478"/>
    </row>
    <row r="593" spans="1:9" ht="20.25">
      <c r="A593" s="478"/>
      <c r="B593" s="478"/>
      <c r="C593" s="478"/>
      <c r="D593" s="478"/>
      <c r="E593" s="478"/>
      <c r="F593" s="478"/>
      <c r="G593" s="478"/>
      <c r="H593" s="478"/>
      <c r="I593" s="478"/>
    </row>
    <row r="594" spans="1:9" ht="20.25">
      <c r="A594" s="478"/>
      <c r="B594" s="478"/>
      <c r="C594" s="478"/>
      <c r="D594" s="478"/>
      <c r="E594" s="478"/>
      <c r="F594" s="478"/>
      <c r="G594" s="478"/>
      <c r="H594" s="478"/>
      <c r="I594" s="478"/>
    </row>
    <row r="595" spans="1:9" ht="20.25">
      <c r="A595" s="478"/>
      <c r="B595" s="478"/>
      <c r="C595" s="478"/>
      <c r="D595" s="478"/>
      <c r="E595" s="478"/>
      <c r="F595" s="478"/>
      <c r="G595" s="478"/>
      <c r="H595" s="478"/>
      <c r="I595" s="478"/>
    </row>
    <row r="596" spans="1:9" ht="20.25">
      <c r="A596" s="478"/>
      <c r="B596" s="478"/>
      <c r="C596" s="478"/>
      <c r="D596" s="478"/>
      <c r="E596" s="478"/>
      <c r="F596" s="478"/>
      <c r="G596" s="478"/>
      <c r="H596" s="478"/>
      <c r="I596" s="478"/>
    </row>
    <row r="597" spans="1:9" ht="20.25">
      <c r="A597" s="478"/>
      <c r="B597" s="478"/>
      <c r="C597" s="478"/>
      <c r="D597" s="478"/>
      <c r="E597" s="478"/>
      <c r="F597" s="478"/>
      <c r="G597" s="478"/>
      <c r="H597" s="478"/>
      <c r="I597" s="478"/>
    </row>
    <row r="598" spans="1:9" ht="20.25">
      <c r="A598" s="478"/>
      <c r="B598" s="478"/>
      <c r="C598" s="478"/>
      <c r="D598" s="478"/>
      <c r="E598" s="478"/>
      <c r="F598" s="478"/>
      <c r="G598" s="478"/>
      <c r="H598" s="478"/>
      <c r="I598" s="478"/>
    </row>
    <row r="599" spans="1:9" ht="20.25">
      <c r="A599" s="478"/>
      <c r="B599" s="478"/>
      <c r="C599" s="478"/>
      <c r="D599" s="478"/>
      <c r="E599" s="478"/>
      <c r="F599" s="478"/>
      <c r="G599" s="478"/>
      <c r="H599" s="478"/>
      <c r="I599" s="478"/>
    </row>
    <row r="600" spans="1:9" ht="20.25">
      <c r="A600" s="478"/>
      <c r="B600" s="478"/>
      <c r="C600" s="478"/>
      <c r="D600" s="478"/>
      <c r="E600" s="478"/>
      <c r="F600" s="478"/>
      <c r="G600" s="478"/>
      <c r="H600" s="478"/>
      <c r="I600" s="478"/>
    </row>
    <row r="601" spans="1:9" ht="20.25">
      <c r="A601" s="478"/>
      <c r="B601" s="478"/>
      <c r="C601" s="478"/>
      <c r="D601" s="478"/>
      <c r="E601" s="478"/>
      <c r="F601" s="478"/>
      <c r="G601" s="478"/>
      <c r="H601" s="478"/>
      <c r="I601" s="478"/>
    </row>
    <row r="602" spans="1:9" ht="20.25">
      <c r="A602" s="478"/>
      <c r="B602" s="478"/>
      <c r="C602" s="478"/>
      <c r="D602" s="478"/>
      <c r="E602" s="478"/>
      <c r="F602" s="478"/>
      <c r="G602" s="478"/>
      <c r="H602" s="478"/>
      <c r="I602" s="478"/>
    </row>
    <row r="603" spans="1:9" ht="20.25">
      <c r="A603" s="478"/>
      <c r="B603" s="478"/>
      <c r="C603" s="478"/>
      <c r="D603" s="478"/>
      <c r="E603" s="478"/>
      <c r="F603" s="478"/>
      <c r="G603" s="478"/>
      <c r="H603" s="478"/>
      <c r="I603" s="478"/>
    </row>
    <row r="604" spans="1:9" ht="20.25">
      <c r="A604" s="478"/>
      <c r="B604" s="478"/>
      <c r="C604" s="478"/>
      <c r="D604" s="478"/>
      <c r="E604" s="478"/>
      <c r="F604" s="478"/>
      <c r="G604" s="478"/>
      <c r="H604" s="478"/>
      <c r="I604" s="478"/>
    </row>
    <row r="605" spans="1:9" ht="20.25">
      <c r="A605" s="478"/>
      <c r="B605" s="478"/>
      <c r="C605" s="478"/>
      <c r="D605" s="478"/>
      <c r="E605" s="478"/>
      <c r="F605" s="478"/>
      <c r="G605" s="478"/>
      <c r="H605" s="478"/>
      <c r="I605" s="478"/>
    </row>
    <row r="606" spans="1:9" ht="20.25">
      <c r="A606" s="478"/>
      <c r="B606" s="478"/>
      <c r="C606" s="478"/>
      <c r="D606" s="478"/>
      <c r="E606" s="478"/>
      <c r="F606" s="478"/>
      <c r="G606" s="478"/>
      <c r="H606" s="478"/>
      <c r="I606" s="478"/>
    </row>
    <row r="607" spans="1:9" ht="20.25">
      <c r="A607" s="478"/>
      <c r="B607" s="478"/>
      <c r="C607" s="478"/>
      <c r="D607" s="478"/>
      <c r="E607" s="478"/>
      <c r="F607" s="478"/>
      <c r="G607" s="478"/>
      <c r="H607" s="478"/>
      <c r="I607" s="478"/>
    </row>
    <row r="608" spans="1:9" ht="20.25">
      <c r="A608" s="478"/>
      <c r="B608" s="478"/>
      <c r="C608" s="478"/>
      <c r="D608" s="478"/>
      <c r="E608" s="478"/>
      <c r="F608" s="478"/>
      <c r="G608" s="478"/>
      <c r="H608" s="478"/>
      <c r="I608" s="478"/>
    </row>
    <row r="609" spans="1:9" ht="20.25">
      <c r="A609" s="478"/>
      <c r="B609" s="478"/>
      <c r="C609" s="478"/>
      <c r="D609" s="478"/>
      <c r="E609" s="478"/>
      <c r="F609" s="478"/>
      <c r="G609" s="478"/>
      <c r="H609" s="478"/>
      <c r="I609" s="478"/>
    </row>
    <row r="610" spans="1:9" ht="20.25">
      <c r="A610" s="478"/>
      <c r="B610" s="478"/>
      <c r="C610" s="478"/>
      <c r="D610" s="478"/>
      <c r="E610" s="478"/>
      <c r="F610" s="478"/>
      <c r="G610" s="478"/>
      <c r="H610" s="478"/>
      <c r="I610" s="478"/>
    </row>
    <row r="611" spans="1:9" ht="20.25">
      <c r="A611" s="478"/>
      <c r="B611" s="478"/>
      <c r="C611" s="478"/>
      <c r="D611" s="478"/>
      <c r="E611" s="478"/>
      <c r="F611" s="478"/>
      <c r="G611" s="478"/>
      <c r="H611" s="478"/>
      <c r="I611" s="478"/>
    </row>
    <row r="612" spans="1:9" ht="20.25">
      <c r="A612" s="478"/>
      <c r="B612" s="478"/>
      <c r="C612" s="478"/>
      <c r="D612" s="478"/>
      <c r="E612" s="478"/>
      <c r="F612" s="478"/>
      <c r="G612" s="478"/>
      <c r="H612" s="478"/>
      <c r="I612" s="478"/>
    </row>
    <row r="613" spans="1:9" ht="20.25">
      <c r="A613" s="478"/>
      <c r="B613" s="478"/>
      <c r="C613" s="478"/>
      <c r="D613" s="478"/>
      <c r="E613" s="478"/>
      <c r="F613" s="478"/>
      <c r="G613" s="478"/>
      <c r="H613" s="478"/>
      <c r="I613" s="478"/>
    </row>
    <row r="614" spans="1:9" ht="20.25">
      <c r="A614" s="478"/>
      <c r="B614" s="478"/>
      <c r="C614" s="478"/>
      <c r="D614" s="478"/>
      <c r="E614" s="478"/>
      <c r="F614" s="478"/>
      <c r="G614" s="478"/>
      <c r="H614" s="478"/>
      <c r="I614" s="478"/>
    </row>
    <row r="615" spans="1:9" ht="20.25">
      <c r="A615" s="478"/>
      <c r="B615" s="478"/>
      <c r="C615" s="478"/>
      <c r="D615" s="478"/>
      <c r="E615" s="478"/>
      <c r="F615" s="478"/>
      <c r="G615" s="478"/>
      <c r="H615" s="478"/>
      <c r="I615" s="478"/>
    </row>
    <row r="616" spans="1:9" ht="20.25">
      <c r="A616" s="478"/>
      <c r="B616" s="478"/>
      <c r="C616" s="478"/>
      <c r="D616" s="478"/>
      <c r="E616" s="478"/>
      <c r="F616" s="478"/>
      <c r="G616" s="478"/>
      <c r="H616" s="478"/>
      <c r="I616" s="478"/>
    </row>
    <row r="617" spans="1:9" ht="20.25">
      <c r="A617" s="478"/>
      <c r="B617" s="478"/>
      <c r="C617" s="478"/>
      <c r="D617" s="478"/>
      <c r="E617" s="478"/>
      <c r="F617" s="478"/>
      <c r="G617" s="478"/>
      <c r="H617" s="478"/>
      <c r="I617" s="478"/>
    </row>
    <row r="618" spans="1:9" ht="20.25">
      <c r="A618" s="478"/>
      <c r="B618" s="478"/>
      <c r="C618" s="478"/>
      <c r="D618" s="478"/>
      <c r="E618" s="478"/>
      <c r="F618" s="478"/>
      <c r="G618" s="478"/>
      <c r="H618" s="478"/>
      <c r="I618" s="478"/>
    </row>
    <row r="619" spans="1:9" ht="20.25">
      <c r="A619" s="478"/>
      <c r="B619" s="478"/>
      <c r="C619" s="478"/>
      <c r="D619" s="478"/>
      <c r="E619" s="478"/>
      <c r="F619" s="478"/>
      <c r="G619" s="478"/>
      <c r="H619" s="478"/>
      <c r="I619" s="478"/>
    </row>
    <row r="620" spans="1:9" ht="20.25">
      <c r="A620" s="478"/>
      <c r="B620" s="478"/>
      <c r="C620" s="478"/>
      <c r="D620" s="478"/>
      <c r="E620" s="478"/>
      <c r="F620" s="478"/>
      <c r="G620" s="478"/>
      <c r="H620" s="478"/>
      <c r="I620" s="478"/>
    </row>
    <row r="621" spans="1:9" ht="20.25">
      <c r="A621" s="478"/>
      <c r="B621" s="478"/>
      <c r="C621" s="478"/>
      <c r="D621" s="478"/>
      <c r="E621" s="478"/>
      <c r="F621" s="478"/>
      <c r="G621" s="478"/>
      <c r="H621" s="478"/>
      <c r="I621" s="478"/>
    </row>
    <row r="622" spans="1:9" ht="20.25">
      <c r="A622" s="478"/>
      <c r="B622" s="478"/>
      <c r="C622" s="478"/>
      <c r="D622" s="478"/>
      <c r="E622" s="478"/>
      <c r="F622" s="478"/>
      <c r="G622" s="478"/>
      <c r="H622" s="478"/>
      <c r="I622" s="478"/>
    </row>
    <row r="623" spans="1:9" ht="20.25">
      <c r="A623" s="478"/>
      <c r="B623" s="478"/>
      <c r="C623" s="478"/>
      <c r="D623" s="478"/>
      <c r="E623" s="478"/>
      <c r="F623" s="478"/>
      <c r="G623" s="478"/>
      <c r="H623" s="478"/>
      <c r="I623" s="478"/>
    </row>
    <row r="624" spans="1:9" ht="20.25">
      <c r="A624" s="478"/>
      <c r="B624" s="478"/>
      <c r="C624" s="478"/>
      <c r="D624" s="478"/>
      <c r="E624" s="478"/>
      <c r="F624" s="478"/>
      <c r="G624" s="478"/>
      <c r="H624" s="478"/>
      <c r="I624" s="478"/>
    </row>
    <row r="625" spans="1:9" ht="20.25">
      <c r="A625" s="478"/>
      <c r="B625" s="478"/>
      <c r="C625" s="478"/>
      <c r="D625" s="478"/>
      <c r="E625" s="478"/>
      <c r="F625" s="478"/>
      <c r="G625" s="478"/>
      <c r="H625" s="478"/>
      <c r="I625" s="478"/>
    </row>
    <row r="626" spans="1:9" ht="20.25">
      <c r="A626" s="478"/>
      <c r="B626" s="478"/>
      <c r="C626" s="478"/>
      <c r="D626" s="478"/>
      <c r="E626" s="478"/>
      <c r="F626" s="478"/>
      <c r="G626" s="478"/>
      <c r="H626" s="478"/>
      <c r="I626" s="478"/>
    </row>
    <row r="627" spans="1:9" ht="20.25">
      <c r="A627" s="478"/>
      <c r="B627" s="478"/>
      <c r="C627" s="478"/>
      <c r="D627" s="478"/>
      <c r="E627" s="478"/>
      <c r="F627" s="478"/>
      <c r="G627" s="478"/>
      <c r="H627" s="478"/>
      <c r="I627" s="478"/>
    </row>
    <row r="628" spans="1:9" ht="20.25">
      <c r="A628" s="478"/>
      <c r="B628" s="478"/>
      <c r="C628" s="478"/>
      <c r="D628" s="478"/>
      <c r="E628" s="478"/>
      <c r="F628" s="478"/>
      <c r="G628" s="478"/>
      <c r="H628" s="478"/>
      <c r="I628" s="478"/>
    </row>
    <row r="629" spans="1:9" ht="20.25">
      <c r="A629" s="478"/>
      <c r="B629" s="478"/>
      <c r="C629" s="478"/>
      <c r="D629" s="478"/>
      <c r="E629" s="478"/>
      <c r="F629" s="478"/>
      <c r="G629" s="478"/>
      <c r="H629" s="478"/>
      <c r="I629" s="478"/>
    </row>
    <row r="630" spans="1:9" ht="20.25">
      <c r="A630" s="478"/>
      <c r="B630" s="478"/>
      <c r="C630" s="478"/>
      <c r="D630" s="478"/>
      <c r="E630" s="478"/>
      <c r="F630" s="478"/>
      <c r="G630" s="478"/>
      <c r="H630" s="478"/>
      <c r="I630" s="478"/>
    </row>
    <row r="631" spans="1:9" ht="20.25">
      <c r="A631" s="478"/>
      <c r="B631" s="478"/>
      <c r="C631" s="478"/>
      <c r="D631" s="478"/>
      <c r="E631" s="478"/>
      <c r="F631" s="478"/>
      <c r="G631" s="478"/>
      <c r="H631" s="478"/>
      <c r="I631" s="478"/>
    </row>
    <row r="632" spans="1:9" ht="20.25">
      <c r="A632" s="478"/>
      <c r="B632" s="478"/>
      <c r="C632" s="478"/>
      <c r="D632" s="478"/>
      <c r="E632" s="478"/>
      <c r="F632" s="478"/>
      <c r="G632" s="478"/>
      <c r="H632" s="478"/>
      <c r="I632" s="478"/>
    </row>
    <row r="633" spans="1:9" ht="20.25">
      <c r="A633" s="478"/>
      <c r="B633" s="478"/>
      <c r="C633" s="478"/>
      <c r="D633" s="478"/>
      <c r="E633" s="478"/>
      <c r="F633" s="478"/>
      <c r="G633" s="478"/>
      <c r="H633" s="478"/>
      <c r="I633" s="478"/>
    </row>
    <row r="634" spans="1:9" ht="20.25">
      <c r="A634" s="478"/>
      <c r="B634" s="478"/>
      <c r="C634" s="478"/>
      <c r="D634" s="478"/>
      <c r="E634" s="478"/>
      <c r="F634" s="478"/>
      <c r="G634" s="478"/>
      <c r="H634" s="478"/>
      <c r="I634" s="478"/>
    </row>
    <row r="635" spans="1:9" ht="20.25">
      <c r="A635" s="478"/>
      <c r="B635" s="478"/>
      <c r="C635" s="478"/>
      <c r="D635" s="478"/>
      <c r="E635" s="478"/>
      <c r="F635" s="478"/>
      <c r="G635" s="478"/>
      <c r="H635" s="478"/>
      <c r="I635" s="478"/>
    </row>
    <row r="636" spans="1:9" ht="20.25">
      <c r="A636" s="478"/>
      <c r="B636" s="478"/>
      <c r="C636" s="478"/>
      <c r="D636" s="478"/>
      <c r="E636" s="478"/>
      <c r="F636" s="478"/>
      <c r="G636" s="478"/>
      <c r="H636" s="478"/>
      <c r="I636" s="478"/>
    </row>
    <row r="637" spans="1:9" ht="20.25">
      <c r="A637" s="478"/>
      <c r="B637" s="478"/>
      <c r="C637" s="478"/>
      <c r="D637" s="478"/>
      <c r="E637" s="478"/>
      <c r="F637" s="478"/>
      <c r="G637" s="478"/>
      <c r="H637" s="478"/>
      <c r="I637" s="478"/>
    </row>
    <row r="638" spans="1:9" ht="20.25">
      <c r="A638" s="478"/>
      <c r="B638" s="478"/>
      <c r="C638" s="478"/>
      <c r="D638" s="478"/>
      <c r="E638" s="478"/>
      <c r="F638" s="478"/>
      <c r="G638" s="478"/>
      <c r="H638" s="478"/>
      <c r="I638" s="478"/>
    </row>
    <row r="639" spans="1:9" ht="20.25">
      <c r="A639" s="478"/>
      <c r="B639" s="478"/>
      <c r="C639" s="478"/>
      <c r="D639" s="478"/>
      <c r="E639" s="478"/>
      <c r="F639" s="478"/>
      <c r="G639" s="478"/>
      <c r="H639" s="478"/>
      <c r="I639" s="478"/>
    </row>
    <row r="640" spans="1:9" ht="20.25">
      <c r="A640" s="478"/>
      <c r="B640" s="478"/>
      <c r="C640" s="478"/>
      <c r="D640" s="478"/>
      <c r="E640" s="478"/>
      <c r="F640" s="478"/>
      <c r="G640" s="478"/>
      <c r="H640" s="478"/>
      <c r="I640" s="478"/>
    </row>
    <row r="641" spans="1:9" ht="20.25">
      <c r="A641" s="478"/>
      <c r="B641" s="478"/>
      <c r="C641" s="478"/>
      <c r="D641" s="478"/>
      <c r="E641" s="478"/>
      <c r="F641" s="478"/>
      <c r="G641" s="478"/>
      <c r="H641" s="478"/>
      <c r="I641" s="478"/>
    </row>
    <row r="642" spans="1:9" ht="20.25">
      <c r="A642" s="478"/>
      <c r="B642" s="478"/>
      <c r="C642" s="478"/>
      <c r="D642" s="478"/>
      <c r="E642" s="478"/>
      <c r="F642" s="478"/>
      <c r="G642" s="478"/>
      <c r="H642" s="478"/>
      <c r="I642" s="478"/>
    </row>
    <row r="643" spans="1:9" ht="20.25">
      <c r="A643" s="478"/>
      <c r="B643" s="478"/>
      <c r="C643" s="478"/>
      <c r="D643" s="478"/>
      <c r="E643" s="478"/>
      <c r="F643" s="478"/>
      <c r="G643" s="478"/>
      <c r="H643" s="478"/>
      <c r="I643" s="478"/>
    </row>
    <row r="644" spans="1:9" ht="20.25">
      <c r="A644" s="478"/>
      <c r="B644" s="478"/>
      <c r="C644" s="478"/>
      <c r="D644" s="478"/>
      <c r="E644" s="478"/>
      <c r="F644" s="478"/>
      <c r="G644" s="478"/>
      <c r="H644" s="478"/>
      <c r="I644" s="478"/>
    </row>
    <row r="645" spans="1:9" ht="20.25">
      <c r="A645" s="478"/>
      <c r="B645" s="478"/>
      <c r="C645" s="478"/>
      <c r="D645" s="478"/>
      <c r="E645" s="478"/>
      <c r="F645" s="478"/>
      <c r="G645" s="478"/>
      <c r="H645" s="478"/>
      <c r="I645" s="478"/>
    </row>
    <row r="646" spans="1:9" ht="20.25">
      <c r="A646" s="478"/>
      <c r="B646" s="478"/>
      <c r="C646" s="478"/>
      <c r="D646" s="478"/>
      <c r="E646" s="478"/>
      <c r="F646" s="478"/>
      <c r="G646" s="478"/>
      <c r="H646" s="478"/>
      <c r="I646" s="478"/>
    </row>
    <row r="647" spans="1:9" ht="20.25">
      <c r="A647" s="478"/>
      <c r="B647" s="478"/>
      <c r="C647" s="478"/>
      <c r="D647" s="478"/>
      <c r="E647" s="478"/>
      <c r="F647" s="478"/>
      <c r="G647" s="478"/>
      <c r="H647" s="478"/>
      <c r="I647" s="478"/>
    </row>
    <row r="648" spans="1:9" ht="20.25">
      <c r="A648" s="478"/>
      <c r="B648" s="478"/>
      <c r="C648" s="478"/>
      <c r="D648" s="478"/>
      <c r="E648" s="478"/>
      <c r="F648" s="478"/>
      <c r="G648" s="478"/>
      <c r="H648" s="478"/>
      <c r="I648" s="478"/>
    </row>
    <row r="649" spans="1:9" ht="20.25">
      <c r="A649" s="478"/>
      <c r="B649" s="478"/>
      <c r="C649" s="478"/>
      <c r="D649" s="478"/>
      <c r="E649" s="478"/>
      <c r="F649" s="478"/>
      <c r="G649" s="478"/>
      <c r="H649" s="478"/>
      <c r="I649" s="478"/>
    </row>
    <row r="650" spans="1:9" ht="20.25">
      <c r="A650" s="478"/>
      <c r="B650" s="478"/>
      <c r="C650" s="478"/>
      <c r="D650" s="478"/>
      <c r="E650" s="478"/>
      <c r="F650" s="478"/>
      <c r="G650" s="478"/>
      <c r="H650" s="478"/>
      <c r="I650" s="478"/>
    </row>
    <row r="651" spans="1:9" ht="20.25">
      <c r="A651" s="478"/>
      <c r="B651" s="478"/>
      <c r="C651" s="478"/>
      <c r="D651" s="478"/>
      <c r="E651" s="478"/>
      <c r="F651" s="478"/>
      <c r="G651" s="478"/>
      <c r="H651" s="478"/>
      <c r="I651" s="478"/>
    </row>
    <row r="652" spans="1:9" ht="20.25">
      <c r="A652" s="478"/>
      <c r="B652" s="478"/>
      <c r="C652" s="478"/>
      <c r="D652" s="478"/>
      <c r="E652" s="478"/>
      <c r="F652" s="478"/>
      <c r="G652" s="478"/>
      <c r="H652" s="478"/>
      <c r="I652" s="478"/>
    </row>
    <row r="653" spans="1:9" ht="20.25">
      <c r="A653" s="478"/>
      <c r="B653" s="478"/>
      <c r="C653" s="478"/>
      <c r="D653" s="478"/>
      <c r="E653" s="478"/>
      <c r="F653" s="478"/>
      <c r="G653" s="478"/>
      <c r="H653" s="478"/>
      <c r="I653" s="478"/>
    </row>
    <row r="654" spans="1:9" ht="20.25">
      <c r="A654" s="478"/>
      <c r="B654" s="478"/>
      <c r="C654" s="478"/>
      <c r="D654" s="478"/>
      <c r="E654" s="478"/>
      <c r="F654" s="478"/>
      <c r="G654" s="478"/>
      <c r="H654" s="478"/>
      <c r="I654" s="478"/>
    </row>
    <row r="655" spans="1:9" ht="20.25">
      <c r="A655" s="478"/>
      <c r="B655" s="478"/>
      <c r="C655" s="478"/>
      <c r="D655" s="478"/>
      <c r="E655" s="478"/>
      <c r="F655" s="478"/>
      <c r="G655" s="478"/>
      <c r="H655" s="478"/>
      <c r="I655" s="478"/>
    </row>
    <row r="656" spans="1:9" ht="20.25">
      <c r="A656" s="478"/>
      <c r="B656" s="478"/>
      <c r="C656" s="478"/>
      <c r="D656" s="478"/>
      <c r="E656" s="478"/>
      <c r="F656" s="478"/>
      <c r="G656" s="478"/>
      <c r="H656" s="478"/>
      <c r="I656" s="478"/>
    </row>
    <row r="657" spans="1:9" ht="20.25">
      <c r="A657" s="478"/>
      <c r="B657" s="478"/>
      <c r="C657" s="478"/>
      <c r="D657" s="478"/>
      <c r="E657" s="478"/>
      <c r="F657" s="478"/>
      <c r="G657" s="478"/>
      <c r="H657" s="478"/>
      <c r="I657" s="478"/>
    </row>
    <row r="658" spans="1:9" ht="20.25">
      <c r="A658" s="478"/>
      <c r="B658" s="478"/>
      <c r="C658" s="478"/>
      <c r="D658" s="478"/>
      <c r="E658" s="478"/>
      <c r="F658" s="478"/>
      <c r="G658" s="478"/>
      <c r="H658" s="478"/>
      <c r="I658" s="478"/>
    </row>
    <row r="659" spans="1:9" ht="20.25">
      <c r="A659" s="478"/>
      <c r="B659" s="478"/>
      <c r="C659" s="478"/>
      <c r="D659" s="478"/>
      <c r="E659" s="478"/>
      <c r="F659" s="478"/>
      <c r="G659" s="478"/>
      <c r="H659" s="478"/>
      <c r="I659" s="478"/>
    </row>
    <row r="660" spans="1:9" ht="20.25">
      <c r="A660" s="478"/>
      <c r="B660" s="478"/>
      <c r="C660" s="478"/>
      <c r="D660" s="478"/>
      <c r="E660" s="478"/>
      <c r="F660" s="478"/>
      <c r="G660" s="478"/>
      <c r="H660" s="478"/>
      <c r="I660" s="478"/>
    </row>
    <row r="661" spans="1:9" ht="20.25">
      <c r="A661" s="478"/>
      <c r="B661" s="478"/>
      <c r="C661" s="478"/>
      <c r="D661" s="478"/>
      <c r="E661" s="478"/>
      <c r="F661" s="478"/>
      <c r="G661" s="478"/>
      <c r="H661" s="478"/>
      <c r="I661" s="478"/>
    </row>
    <row r="662" spans="1:9" ht="20.25">
      <c r="A662" s="478"/>
      <c r="B662" s="478"/>
      <c r="C662" s="478"/>
      <c r="D662" s="478"/>
      <c r="E662" s="478"/>
      <c r="F662" s="478"/>
      <c r="G662" s="478"/>
      <c r="H662" s="478"/>
      <c r="I662" s="478"/>
    </row>
    <row r="663" spans="1:9" ht="20.25">
      <c r="A663" s="478"/>
      <c r="B663" s="478"/>
      <c r="C663" s="478"/>
      <c r="D663" s="478"/>
      <c r="E663" s="478"/>
      <c r="F663" s="478"/>
      <c r="G663" s="478"/>
      <c r="H663" s="478"/>
      <c r="I663" s="478"/>
    </row>
    <row r="664" spans="1:9" ht="20.25">
      <c r="A664" s="478"/>
      <c r="B664" s="478"/>
      <c r="C664" s="478"/>
      <c r="D664" s="478"/>
      <c r="E664" s="478"/>
      <c r="F664" s="478"/>
      <c r="G664" s="478"/>
      <c r="H664" s="478"/>
      <c r="I664" s="478"/>
    </row>
    <row r="665" spans="1:9" ht="20.25">
      <c r="A665" s="478"/>
      <c r="B665" s="478"/>
      <c r="C665" s="478"/>
      <c r="D665" s="478"/>
      <c r="E665" s="478"/>
      <c r="F665" s="478"/>
      <c r="G665" s="478"/>
      <c r="H665" s="478"/>
      <c r="I665" s="478"/>
    </row>
    <row r="666" spans="1:9" ht="20.25">
      <c r="A666" s="478"/>
      <c r="B666" s="478"/>
      <c r="C666" s="478"/>
      <c r="D666" s="478"/>
      <c r="E666" s="478"/>
      <c r="F666" s="478"/>
      <c r="G666" s="478"/>
      <c r="H666" s="478"/>
      <c r="I666" s="478"/>
    </row>
    <row r="667" spans="1:9" ht="20.25">
      <c r="A667" s="478"/>
      <c r="B667" s="478"/>
      <c r="C667" s="478"/>
      <c r="D667" s="478"/>
      <c r="E667" s="478"/>
      <c r="F667" s="478"/>
      <c r="G667" s="478"/>
      <c r="H667" s="478"/>
      <c r="I667" s="478"/>
    </row>
    <row r="668" spans="1:9" ht="20.25">
      <c r="A668" s="478"/>
      <c r="B668" s="478"/>
      <c r="C668" s="478"/>
      <c r="D668" s="478"/>
      <c r="E668" s="478"/>
      <c r="F668" s="478"/>
      <c r="G668" s="478"/>
      <c r="H668" s="478"/>
      <c r="I668" s="478"/>
    </row>
    <row r="669" spans="1:9" ht="20.25">
      <c r="A669" s="478"/>
      <c r="B669" s="478"/>
      <c r="C669" s="478"/>
      <c r="D669" s="478"/>
      <c r="E669" s="478"/>
      <c r="F669" s="478"/>
      <c r="G669" s="478"/>
      <c r="H669" s="478"/>
      <c r="I669" s="478"/>
    </row>
    <row r="670" spans="1:9" ht="20.25">
      <c r="A670" s="478"/>
      <c r="B670" s="478"/>
      <c r="C670" s="478"/>
      <c r="D670" s="478"/>
      <c r="E670" s="478"/>
      <c r="F670" s="478"/>
      <c r="G670" s="478"/>
      <c r="H670" s="478"/>
      <c r="I670" s="478"/>
    </row>
    <row r="671" spans="1:9" ht="20.25">
      <c r="A671" s="478"/>
      <c r="B671" s="478"/>
      <c r="C671" s="478"/>
      <c r="D671" s="478"/>
      <c r="E671" s="478"/>
      <c r="F671" s="478"/>
      <c r="G671" s="478"/>
      <c r="H671" s="478"/>
      <c r="I671" s="478"/>
    </row>
    <row r="672" spans="1:9" ht="20.25">
      <c r="A672" s="478"/>
      <c r="B672" s="478"/>
      <c r="C672" s="478"/>
      <c r="D672" s="478"/>
      <c r="E672" s="478"/>
      <c r="F672" s="478"/>
      <c r="G672" s="478"/>
      <c r="H672" s="478"/>
      <c r="I672" s="478"/>
    </row>
    <row r="673" spans="1:9" ht="20.25">
      <c r="A673" s="478"/>
      <c r="B673" s="478"/>
      <c r="C673" s="478"/>
      <c r="D673" s="478"/>
      <c r="E673" s="478"/>
      <c r="F673" s="478"/>
      <c r="G673" s="478"/>
      <c r="H673" s="478"/>
      <c r="I673" s="478"/>
    </row>
    <row r="674" spans="1:9" ht="20.25">
      <c r="A674" s="478"/>
      <c r="B674" s="478"/>
      <c r="C674" s="478"/>
      <c r="D674" s="478"/>
      <c r="E674" s="478"/>
      <c r="F674" s="478"/>
      <c r="G674" s="478"/>
      <c r="H674" s="478"/>
      <c r="I674" s="478"/>
    </row>
    <row r="675" spans="1:9" ht="20.25">
      <c r="A675" s="478"/>
      <c r="B675" s="478"/>
      <c r="C675" s="478"/>
      <c r="D675" s="478"/>
      <c r="E675" s="478"/>
      <c r="F675" s="478"/>
      <c r="G675" s="478"/>
      <c r="H675" s="478"/>
      <c r="I675" s="478"/>
    </row>
    <row r="676" spans="1:9" ht="20.25">
      <c r="A676" s="478"/>
      <c r="B676" s="478"/>
      <c r="C676" s="478"/>
      <c r="D676" s="478"/>
      <c r="E676" s="478"/>
      <c r="F676" s="478"/>
      <c r="G676" s="478"/>
      <c r="H676" s="478"/>
      <c r="I676" s="478"/>
    </row>
    <row r="677" spans="1:9" ht="20.25">
      <c r="A677" s="478"/>
      <c r="B677" s="478"/>
      <c r="C677" s="478"/>
      <c r="D677" s="478"/>
      <c r="E677" s="478"/>
      <c r="F677" s="478"/>
      <c r="G677" s="478"/>
      <c r="H677" s="478"/>
      <c r="I677" s="478"/>
    </row>
    <row r="678" spans="1:9" ht="20.25">
      <c r="A678" s="478"/>
      <c r="B678" s="478"/>
      <c r="C678" s="478"/>
      <c r="D678" s="478"/>
      <c r="E678" s="478"/>
      <c r="F678" s="478"/>
      <c r="G678" s="478"/>
      <c r="H678" s="478"/>
      <c r="I678" s="478"/>
    </row>
    <row r="679" spans="1:9" ht="20.25">
      <c r="A679" s="478"/>
      <c r="B679" s="478"/>
      <c r="C679" s="478"/>
      <c r="D679" s="478"/>
      <c r="E679" s="478"/>
      <c r="F679" s="478"/>
      <c r="G679" s="478"/>
      <c r="H679" s="478"/>
      <c r="I679" s="478"/>
    </row>
    <row r="680" spans="1:9" ht="20.25">
      <c r="A680" s="478"/>
      <c r="B680" s="478"/>
      <c r="C680" s="478"/>
      <c r="D680" s="478"/>
      <c r="E680" s="478"/>
      <c r="F680" s="478"/>
      <c r="G680" s="478"/>
      <c r="H680" s="478"/>
      <c r="I680" s="478"/>
    </row>
    <row r="681" spans="1:9" ht="20.25">
      <c r="A681" s="478"/>
      <c r="B681" s="478"/>
      <c r="C681" s="478"/>
      <c r="D681" s="478"/>
      <c r="E681" s="478"/>
      <c r="F681" s="478"/>
      <c r="G681" s="478"/>
      <c r="H681" s="478"/>
      <c r="I681" s="478"/>
    </row>
    <row r="682" spans="1:9" ht="20.25">
      <c r="A682" s="478"/>
      <c r="B682" s="478"/>
      <c r="C682" s="478"/>
      <c r="D682" s="478"/>
      <c r="E682" s="478"/>
      <c r="F682" s="478"/>
      <c r="G682" s="478"/>
      <c r="H682" s="478"/>
      <c r="I682" s="478"/>
    </row>
    <row r="683" spans="1:9" ht="20.25">
      <c r="A683" s="478"/>
      <c r="B683" s="478"/>
      <c r="C683" s="478"/>
      <c r="D683" s="478"/>
      <c r="E683" s="478"/>
      <c r="F683" s="478"/>
      <c r="G683" s="478"/>
      <c r="H683" s="478"/>
      <c r="I683" s="478"/>
    </row>
    <row r="684" spans="1:9" ht="20.25">
      <c r="A684" s="478"/>
      <c r="B684" s="478"/>
      <c r="C684" s="478"/>
      <c r="D684" s="478"/>
      <c r="E684" s="478"/>
      <c r="F684" s="478"/>
      <c r="G684" s="478"/>
      <c r="H684" s="478"/>
      <c r="I684" s="478"/>
    </row>
    <row r="685" spans="1:9" ht="20.25">
      <c r="A685" s="478"/>
      <c r="B685" s="478"/>
      <c r="C685" s="478"/>
      <c r="D685" s="478"/>
      <c r="E685" s="478"/>
      <c r="F685" s="478"/>
      <c r="G685" s="478"/>
      <c r="H685" s="478"/>
      <c r="I685" s="478"/>
    </row>
    <row r="686" spans="1:9" ht="20.25">
      <c r="A686" s="478"/>
      <c r="B686" s="478"/>
      <c r="C686" s="478"/>
      <c r="D686" s="478"/>
      <c r="E686" s="478"/>
      <c r="F686" s="478"/>
      <c r="G686" s="478"/>
      <c r="H686" s="478"/>
      <c r="I686" s="478"/>
    </row>
    <row r="687" spans="1:9" ht="20.25">
      <c r="A687" s="478"/>
      <c r="B687" s="478"/>
      <c r="C687" s="478"/>
      <c r="D687" s="478"/>
      <c r="E687" s="478"/>
      <c r="F687" s="478"/>
      <c r="G687" s="478"/>
      <c r="H687" s="478"/>
      <c r="I687" s="478"/>
    </row>
    <row r="688" spans="1:9" ht="20.25">
      <c r="A688" s="478"/>
      <c r="B688" s="478"/>
      <c r="C688" s="478"/>
      <c r="D688" s="478"/>
      <c r="E688" s="478"/>
      <c r="F688" s="478"/>
      <c r="G688" s="478"/>
      <c r="H688" s="478"/>
      <c r="I688" s="478"/>
    </row>
    <row r="689" spans="1:9" ht="20.25">
      <c r="A689" s="478"/>
      <c r="B689" s="478"/>
      <c r="C689" s="478"/>
      <c r="D689" s="478"/>
      <c r="E689" s="478"/>
      <c r="F689" s="478"/>
      <c r="G689" s="478"/>
      <c r="H689" s="478"/>
      <c r="I689" s="478"/>
    </row>
    <row r="690" spans="1:9" ht="20.25">
      <c r="A690" s="478"/>
      <c r="B690" s="478"/>
      <c r="C690" s="478"/>
      <c r="D690" s="478"/>
      <c r="E690" s="478"/>
      <c r="F690" s="478"/>
      <c r="G690" s="478"/>
      <c r="H690" s="478"/>
      <c r="I690" s="478"/>
    </row>
    <row r="691" spans="1:9" ht="20.25">
      <c r="A691" s="478"/>
      <c r="B691" s="478"/>
      <c r="C691" s="478"/>
      <c r="D691" s="478"/>
      <c r="E691" s="478"/>
      <c r="F691" s="478"/>
      <c r="G691" s="478"/>
      <c r="H691" s="478"/>
      <c r="I691" s="478"/>
    </row>
    <row r="692" spans="1:9" ht="20.25">
      <c r="A692" s="478"/>
      <c r="B692" s="478"/>
      <c r="C692" s="478"/>
      <c r="D692" s="478"/>
      <c r="E692" s="478"/>
      <c r="F692" s="478"/>
      <c r="G692" s="478"/>
      <c r="H692" s="478"/>
      <c r="I692" s="478"/>
    </row>
    <row r="693" spans="1:9" ht="20.25">
      <c r="A693" s="478"/>
      <c r="B693" s="478"/>
      <c r="C693" s="478"/>
      <c r="D693" s="478"/>
      <c r="E693" s="478"/>
      <c r="F693" s="478"/>
      <c r="G693" s="478"/>
      <c r="H693" s="478"/>
      <c r="I693" s="478"/>
    </row>
    <row r="694" spans="1:9" ht="20.25">
      <c r="A694" s="478"/>
      <c r="B694" s="478"/>
      <c r="C694" s="478"/>
      <c r="D694" s="478"/>
      <c r="E694" s="478"/>
      <c r="F694" s="478"/>
      <c r="G694" s="478"/>
      <c r="H694" s="478"/>
      <c r="I694" s="478"/>
    </row>
    <row r="695" spans="1:9" ht="20.25">
      <c r="A695" s="478"/>
      <c r="B695" s="478"/>
      <c r="C695" s="478"/>
      <c r="D695" s="478"/>
      <c r="E695" s="478"/>
      <c r="F695" s="478"/>
      <c r="G695" s="478"/>
      <c r="H695" s="478"/>
      <c r="I695" s="478"/>
    </row>
    <row r="696" spans="1:9" ht="20.25">
      <c r="A696" s="478"/>
      <c r="B696" s="478"/>
      <c r="C696" s="478"/>
      <c r="D696" s="478"/>
      <c r="E696" s="478"/>
      <c r="F696" s="478"/>
      <c r="G696" s="478"/>
      <c r="H696" s="478"/>
      <c r="I696" s="478"/>
    </row>
    <row r="697" spans="1:9" ht="20.25">
      <c r="A697" s="478"/>
      <c r="B697" s="478"/>
      <c r="C697" s="478"/>
      <c r="D697" s="478"/>
      <c r="E697" s="478"/>
      <c r="F697" s="478"/>
      <c r="G697" s="478"/>
      <c r="H697" s="478"/>
      <c r="I697" s="478"/>
    </row>
    <row r="698" spans="1:9" ht="20.25">
      <c r="A698" s="478"/>
      <c r="B698" s="478"/>
      <c r="C698" s="478"/>
      <c r="D698" s="478"/>
      <c r="E698" s="478"/>
      <c r="F698" s="478"/>
      <c r="G698" s="478"/>
      <c r="H698" s="478"/>
      <c r="I698" s="478"/>
    </row>
    <row r="699" spans="1:9" ht="20.25">
      <c r="A699" s="478"/>
      <c r="B699" s="478"/>
      <c r="C699" s="478"/>
      <c r="D699" s="478"/>
      <c r="E699" s="478"/>
      <c r="F699" s="478"/>
      <c r="G699" s="478"/>
      <c r="H699" s="478"/>
      <c r="I699" s="478"/>
    </row>
    <row r="700" spans="1:9" ht="20.25">
      <c r="A700" s="478"/>
      <c r="B700" s="478"/>
      <c r="C700" s="478"/>
      <c r="D700" s="478"/>
      <c r="E700" s="478"/>
      <c r="F700" s="478"/>
      <c r="G700" s="478"/>
      <c r="H700" s="478"/>
      <c r="I700" s="478"/>
    </row>
    <row r="701" spans="1:9" ht="20.25">
      <c r="A701" s="478"/>
      <c r="B701" s="478"/>
      <c r="C701" s="478"/>
      <c r="D701" s="478"/>
      <c r="E701" s="478"/>
      <c r="F701" s="478"/>
      <c r="G701" s="478"/>
      <c r="H701" s="478"/>
      <c r="I701" s="478"/>
    </row>
    <row r="702" spans="1:9" ht="20.25">
      <c r="A702" s="478"/>
      <c r="B702" s="478"/>
      <c r="C702" s="478"/>
      <c r="D702" s="478"/>
      <c r="E702" s="478"/>
      <c r="F702" s="478"/>
      <c r="G702" s="478"/>
      <c r="H702" s="478"/>
      <c r="I702" s="478"/>
    </row>
    <row r="703" spans="1:9" ht="20.25">
      <c r="A703" s="478"/>
      <c r="B703" s="478"/>
      <c r="C703" s="478"/>
      <c r="D703" s="478"/>
      <c r="E703" s="478"/>
      <c r="F703" s="478"/>
      <c r="G703" s="478"/>
      <c r="H703" s="478"/>
      <c r="I703" s="478"/>
    </row>
    <row r="704" spans="1:9" ht="20.25">
      <c r="A704" s="478"/>
      <c r="B704" s="478"/>
      <c r="C704" s="478"/>
      <c r="D704" s="478"/>
      <c r="E704" s="478"/>
      <c r="F704" s="478"/>
      <c r="G704" s="478"/>
      <c r="H704" s="478"/>
      <c r="I704" s="478"/>
    </row>
    <row r="705" spans="1:9" ht="20.25">
      <c r="A705" s="478"/>
      <c r="B705" s="478"/>
      <c r="C705" s="478"/>
      <c r="D705" s="478"/>
      <c r="E705" s="478"/>
      <c r="F705" s="478"/>
      <c r="G705" s="478"/>
      <c r="H705" s="478"/>
      <c r="I705" s="478"/>
    </row>
    <row r="706" spans="1:9" ht="20.25">
      <c r="A706" s="478"/>
      <c r="B706" s="478"/>
      <c r="C706" s="478"/>
      <c r="D706" s="478"/>
      <c r="E706" s="478"/>
      <c r="F706" s="478"/>
      <c r="G706" s="478"/>
      <c r="H706" s="478"/>
      <c r="I706" s="478"/>
    </row>
    <row r="707" spans="1:9" ht="20.25">
      <c r="A707" s="478"/>
      <c r="B707" s="478"/>
      <c r="C707" s="478"/>
      <c r="D707" s="478"/>
      <c r="E707" s="478"/>
      <c r="F707" s="478"/>
      <c r="G707" s="478"/>
      <c r="H707" s="478"/>
      <c r="I707" s="478"/>
    </row>
    <row r="708" spans="1:9" ht="20.25">
      <c r="A708" s="478"/>
      <c r="B708" s="478"/>
      <c r="C708" s="478"/>
      <c r="D708" s="478"/>
      <c r="E708" s="478"/>
      <c r="F708" s="478"/>
      <c r="G708" s="478"/>
      <c r="H708" s="478"/>
      <c r="I708" s="478"/>
    </row>
    <row r="709" spans="1:9" ht="20.25">
      <c r="A709" s="478"/>
      <c r="B709" s="478"/>
      <c r="C709" s="478"/>
      <c r="D709" s="478"/>
      <c r="E709" s="478"/>
      <c r="F709" s="478"/>
      <c r="G709" s="478"/>
      <c r="H709" s="478"/>
      <c r="I709" s="478"/>
    </row>
    <row r="710" spans="1:9" ht="20.25">
      <c r="A710" s="478"/>
      <c r="B710" s="478"/>
      <c r="C710" s="478"/>
      <c r="D710" s="478"/>
      <c r="E710" s="478"/>
      <c r="F710" s="478"/>
      <c r="G710" s="478"/>
      <c r="H710" s="478"/>
      <c r="I710" s="478"/>
    </row>
    <row r="711" spans="1:9" ht="20.25">
      <c r="A711" s="478"/>
      <c r="B711" s="478"/>
      <c r="C711" s="478"/>
      <c r="D711" s="478"/>
      <c r="E711" s="478"/>
      <c r="F711" s="478"/>
      <c r="G711" s="478"/>
      <c r="H711" s="478"/>
      <c r="I711" s="478"/>
    </row>
    <row r="712" spans="1:9" ht="20.25">
      <c r="A712" s="478"/>
      <c r="B712" s="478"/>
      <c r="C712" s="478"/>
      <c r="D712" s="478"/>
      <c r="E712" s="478"/>
      <c r="F712" s="478"/>
      <c r="G712" s="478"/>
      <c r="H712" s="478"/>
      <c r="I712" s="478"/>
    </row>
    <row r="713" spans="1:9" ht="20.25">
      <c r="A713" s="478"/>
      <c r="B713" s="478"/>
      <c r="C713" s="478"/>
      <c r="D713" s="478"/>
      <c r="E713" s="478"/>
      <c r="F713" s="478"/>
      <c r="G713" s="478"/>
      <c r="H713" s="478"/>
      <c r="I713" s="478"/>
    </row>
    <row r="714" spans="1:9" ht="20.25">
      <c r="A714" s="478"/>
      <c r="B714" s="478"/>
      <c r="C714" s="478"/>
      <c r="D714" s="478"/>
      <c r="E714" s="478"/>
      <c r="F714" s="478"/>
      <c r="G714" s="478"/>
      <c r="H714" s="478"/>
      <c r="I714" s="478"/>
    </row>
    <row r="715" spans="1:9" ht="20.25">
      <c r="A715" s="478"/>
      <c r="B715" s="478"/>
      <c r="C715" s="478"/>
      <c r="D715" s="478"/>
      <c r="E715" s="478"/>
      <c r="F715" s="478"/>
      <c r="G715" s="478"/>
      <c r="H715" s="478"/>
      <c r="I715" s="478"/>
    </row>
    <row r="716" spans="1:9" ht="20.25">
      <c r="A716" s="478"/>
      <c r="B716" s="478"/>
      <c r="C716" s="478"/>
      <c r="D716" s="478"/>
      <c r="E716" s="478"/>
      <c r="F716" s="478"/>
      <c r="G716" s="478"/>
      <c r="H716" s="478"/>
      <c r="I716" s="478"/>
    </row>
    <row r="717" spans="1:9" ht="20.25">
      <c r="A717" s="478"/>
      <c r="B717" s="478"/>
      <c r="C717" s="478"/>
      <c r="D717" s="478"/>
      <c r="E717" s="478"/>
      <c r="F717" s="478"/>
      <c r="G717" s="478"/>
      <c r="H717" s="478"/>
      <c r="I717" s="478"/>
    </row>
    <row r="718" spans="1:9" ht="20.25">
      <c r="A718" s="478"/>
      <c r="B718" s="478"/>
      <c r="C718" s="478"/>
      <c r="D718" s="478"/>
      <c r="E718" s="478"/>
      <c r="F718" s="478"/>
      <c r="G718" s="478"/>
      <c r="H718" s="478"/>
      <c r="I718" s="478"/>
    </row>
    <row r="719" spans="1:9" ht="20.25">
      <c r="A719" s="478"/>
      <c r="B719" s="478"/>
      <c r="C719" s="478"/>
      <c r="D719" s="478"/>
      <c r="E719" s="478"/>
      <c r="F719" s="478"/>
      <c r="G719" s="478"/>
      <c r="H719" s="478"/>
      <c r="I719" s="478"/>
    </row>
    <row r="720" spans="1:9" ht="20.25">
      <c r="A720" s="478"/>
      <c r="B720" s="478"/>
      <c r="C720" s="478"/>
      <c r="D720" s="478"/>
      <c r="E720" s="478"/>
      <c r="F720" s="478"/>
      <c r="G720" s="478"/>
      <c r="H720" s="478"/>
      <c r="I720" s="478"/>
    </row>
    <row r="721" spans="1:9" ht="20.25">
      <c r="A721" s="478"/>
      <c r="B721" s="478"/>
      <c r="C721" s="478"/>
      <c r="D721" s="478"/>
      <c r="E721" s="478"/>
      <c r="F721" s="478"/>
      <c r="G721" s="478"/>
      <c r="H721" s="478"/>
      <c r="I721" s="478"/>
    </row>
    <row r="722" spans="1:9" ht="20.25">
      <c r="A722" s="478"/>
      <c r="B722" s="478"/>
      <c r="C722" s="478"/>
      <c r="D722" s="478"/>
      <c r="E722" s="478"/>
      <c r="F722" s="478"/>
      <c r="G722" s="478"/>
      <c r="H722" s="478"/>
      <c r="I722" s="478"/>
    </row>
    <row r="723" spans="1:9" ht="20.25">
      <c r="A723" s="478"/>
      <c r="B723" s="478"/>
      <c r="C723" s="478"/>
      <c r="D723" s="478"/>
      <c r="E723" s="478"/>
      <c r="F723" s="478"/>
      <c r="G723" s="478"/>
      <c r="H723" s="478"/>
      <c r="I723" s="478"/>
    </row>
    <row r="724" spans="1:9" ht="20.25">
      <c r="A724" s="478"/>
      <c r="B724" s="478"/>
      <c r="C724" s="478"/>
      <c r="D724" s="478"/>
      <c r="E724" s="478"/>
      <c r="F724" s="478"/>
      <c r="G724" s="478"/>
      <c r="H724" s="478"/>
      <c r="I724" s="478"/>
    </row>
    <row r="725" spans="1:9" ht="20.25">
      <c r="A725" s="478"/>
      <c r="B725" s="478"/>
      <c r="C725" s="478"/>
      <c r="D725" s="478"/>
      <c r="E725" s="478"/>
      <c r="F725" s="478"/>
      <c r="G725" s="478"/>
      <c r="H725" s="478"/>
      <c r="I725" s="478"/>
    </row>
    <row r="726" spans="1:9" ht="20.25">
      <c r="A726" s="478"/>
      <c r="B726" s="478"/>
      <c r="C726" s="478"/>
      <c r="D726" s="478"/>
      <c r="E726" s="478"/>
      <c r="F726" s="478"/>
      <c r="G726" s="478"/>
      <c r="H726" s="478"/>
      <c r="I726" s="478"/>
    </row>
    <row r="727" spans="1:9" ht="20.25">
      <c r="A727" s="478"/>
      <c r="B727" s="478"/>
      <c r="C727" s="478"/>
      <c r="D727" s="478"/>
      <c r="E727" s="478"/>
      <c r="F727" s="478"/>
      <c r="G727" s="478"/>
      <c r="H727" s="478"/>
      <c r="I727" s="478"/>
    </row>
    <row r="728" spans="1:9" ht="20.25">
      <c r="A728" s="478"/>
      <c r="B728" s="478"/>
      <c r="C728" s="478"/>
      <c r="D728" s="478"/>
      <c r="E728" s="478"/>
      <c r="F728" s="478"/>
      <c r="G728" s="478"/>
      <c r="H728" s="478"/>
      <c r="I728" s="478"/>
    </row>
    <row r="729" spans="1:9" ht="20.25">
      <c r="A729" s="478"/>
      <c r="B729" s="478"/>
      <c r="C729" s="478"/>
      <c r="D729" s="478"/>
      <c r="E729" s="478"/>
      <c r="F729" s="478"/>
      <c r="G729" s="478"/>
      <c r="H729" s="478"/>
      <c r="I729" s="478"/>
    </row>
    <row r="730" spans="1:9" ht="20.25">
      <c r="A730" s="478"/>
      <c r="B730" s="478"/>
      <c r="C730" s="478"/>
      <c r="D730" s="478"/>
      <c r="E730" s="478"/>
      <c r="F730" s="478"/>
      <c r="G730" s="478"/>
      <c r="H730" s="478"/>
      <c r="I730" s="478"/>
    </row>
    <row r="731" spans="1:9" ht="20.25">
      <c r="A731" s="478"/>
      <c r="B731" s="478"/>
      <c r="C731" s="478"/>
      <c r="D731" s="478"/>
      <c r="E731" s="478"/>
      <c r="F731" s="478"/>
      <c r="G731" s="478"/>
      <c r="H731" s="478"/>
      <c r="I731" s="478"/>
    </row>
    <row r="732" spans="1:9" ht="20.25">
      <c r="A732" s="478"/>
      <c r="B732" s="478"/>
      <c r="C732" s="478"/>
      <c r="D732" s="478"/>
      <c r="E732" s="478"/>
      <c r="F732" s="478"/>
      <c r="G732" s="478"/>
      <c r="H732" s="478"/>
      <c r="I732" s="478"/>
    </row>
    <row r="733" spans="1:9" ht="20.25">
      <c r="A733" s="478"/>
      <c r="B733" s="478"/>
      <c r="C733" s="478"/>
      <c r="D733" s="478"/>
      <c r="E733" s="478"/>
      <c r="F733" s="478"/>
      <c r="G733" s="478"/>
      <c r="H733" s="478"/>
      <c r="I733" s="478"/>
    </row>
    <row r="734" spans="1:9" ht="20.25">
      <c r="A734" s="478"/>
      <c r="B734" s="478"/>
      <c r="C734" s="478"/>
      <c r="D734" s="478"/>
      <c r="E734" s="478"/>
      <c r="F734" s="478"/>
      <c r="G734" s="478"/>
      <c r="H734" s="478"/>
      <c r="I734" s="478"/>
    </row>
    <row r="735" spans="1:9" ht="20.25">
      <c r="A735" s="478"/>
      <c r="B735" s="478"/>
      <c r="C735" s="478"/>
      <c r="D735" s="478"/>
      <c r="E735" s="478"/>
      <c r="F735" s="478"/>
      <c r="G735" s="478"/>
      <c r="H735" s="478"/>
      <c r="I735" s="478"/>
    </row>
    <row r="736" spans="1:9" ht="20.25">
      <c r="A736" s="478"/>
      <c r="B736" s="478"/>
      <c r="C736" s="478"/>
      <c r="D736" s="478"/>
      <c r="E736" s="478"/>
      <c r="F736" s="478"/>
      <c r="G736" s="478"/>
      <c r="H736" s="478"/>
      <c r="I736" s="478"/>
    </row>
    <row r="737" spans="1:9" ht="20.25">
      <c r="A737" s="478"/>
      <c r="B737" s="478"/>
      <c r="C737" s="478"/>
      <c r="D737" s="478"/>
      <c r="E737" s="478"/>
      <c r="F737" s="478"/>
      <c r="G737" s="478"/>
      <c r="H737" s="478"/>
      <c r="I737" s="478"/>
    </row>
    <row r="738" spans="1:9" ht="20.25">
      <c r="A738" s="478"/>
      <c r="B738" s="478"/>
      <c r="C738" s="478"/>
      <c r="D738" s="478"/>
      <c r="E738" s="478"/>
      <c r="F738" s="478"/>
      <c r="G738" s="478"/>
      <c r="H738" s="478"/>
      <c r="I738" s="478"/>
    </row>
    <row r="739" spans="1:9" ht="20.25">
      <c r="A739" s="478"/>
      <c r="B739" s="478"/>
      <c r="C739" s="478"/>
      <c r="D739" s="478"/>
      <c r="E739" s="478"/>
      <c r="F739" s="478"/>
      <c r="G739" s="478"/>
      <c r="H739" s="478"/>
      <c r="I739" s="478"/>
    </row>
    <row r="740" spans="1:9" ht="20.25">
      <c r="A740" s="478"/>
      <c r="B740" s="478"/>
      <c r="C740" s="478"/>
      <c r="D740" s="478"/>
      <c r="E740" s="478"/>
      <c r="F740" s="478"/>
      <c r="G740" s="478"/>
      <c r="H740" s="478"/>
      <c r="I740" s="478"/>
    </row>
    <row r="741" spans="1:9" ht="20.25">
      <c r="A741" s="478"/>
      <c r="B741" s="478"/>
      <c r="C741" s="478"/>
      <c r="D741" s="478"/>
      <c r="E741" s="478"/>
      <c r="F741" s="478"/>
      <c r="G741" s="478"/>
      <c r="H741" s="478"/>
      <c r="I741" s="478"/>
    </row>
    <row r="742" spans="1:9" ht="20.25">
      <c r="A742" s="478"/>
      <c r="B742" s="478"/>
      <c r="C742" s="478"/>
      <c r="D742" s="478"/>
      <c r="E742" s="478"/>
      <c r="F742" s="478"/>
      <c r="G742" s="478"/>
      <c r="H742" s="478"/>
      <c r="I742" s="478"/>
    </row>
    <row r="743" spans="1:9" ht="20.25">
      <c r="A743" s="478"/>
      <c r="B743" s="478"/>
      <c r="C743" s="478"/>
      <c r="D743" s="478"/>
      <c r="E743" s="478"/>
      <c r="F743" s="478"/>
      <c r="G743" s="478"/>
      <c r="H743" s="478"/>
      <c r="I743" s="478"/>
    </row>
    <row r="744" spans="1:9" ht="20.25">
      <c r="A744" s="478"/>
      <c r="B744" s="478"/>
      <c r="C744" s="478"/>
      <c r="D744" s="478"/>
      <c r="E744" s="478"/>
      <c r="F744" s="478"/>
      <c r="G744" s="478"/>
      <c r="H744" s="478"/>
      <c r="I744" s="478"/>
    </row>
    <row r="745" spans="1:9" ht="20.25">
      <c r="A745" s="478"/>
      <c r="B745" s="478"/>
      <c r="C745" s="478"/>
      <c r="D745" s="478"/>
      <c r="E745" s="478"/>
      <c r="F745" s="478"/>
      <c r="G745" s="478"/>
      <c r="H745" s="478"/>
      <c r="I745" s="478"/>
    </row>
    <row r="746" spans="1:9" ht="20.25">
      <c r="A746" s="478"/>
      <c r="B746" s="478"/>
      <c r="C746" s="478"/>
      <c r="D746" s="478"/>
      <c r="E746" s="478"/>
      <c r="F746" s="478"/>
      <c r="G746" s="478"/>
      <c r="H746" s="478"/>
      <c r="I746" s="478"/>
    </row>
    <row r="747" spans="1:9" ht="20.25">
      <c r="A747" s="478"/>
      <c r="B747" s="478"/>
      <c r="C747" s="478"/>
      <c r="D747" s="478"/>
      <c r="E747" s="478"/>
      <c r="F747" s="478"/>
      <c r="G747" s="478"/>
      <c r="H747" s="478"/>
      <c r="I747" s="478"/>
    </row>
    <row r="748" spans="1:9" ht="20.25">
      <c r="A748" s="478"/>
      <c r="B748" s="478"/>
      <c r="C748" s="478"/>
      <c r="D748" s="478"/>
      <c r="E748" s="478"/>
      <c r="F748" s="478"/>
      <c r="G748" s="478"/>
      <c r="H748" s="478"/>
      <c r="I748" s="478"/>
    </row>
    <row r="749" spans="1:9" ht="20.25">
      <c r="A749" s="478"/>
      <c r="B749" s="478"/>
      <c r="C749" s="478"/>
      <c r="D749" s="478"/>
      <c r="E749" s="478"/>
      <c r="F749" s="478"/>
      <c r="G749" s="478"/>
      <c r="H749" s="478"/>
      <c r="I749" s="478"/>
    </row>
    <row r="750" spans="1:9" ht="20.25">
      <c r="A750" s="478"/>
      <c r="B750" s="478"/>
      <c r="C750" s="478"/>
      <c r="D750" s="478"/>
      <c r="E750" s="478"/>
      <c r="F750" s="478"/>
      <c r="G750" s="478"/>
      <c r="H750" s="478"/>
      <c r="I750" s="478"/>
    </row>
    <row r="751" spans="1:9" ht="20.25">
      <c r="A751" s="478"/>
      <c r="B751" s="478"/>
      <c r="C751" s="478"/>
      <c r="D751" s="478"/>
      <c r="E751" s="478"/>
      <c r="F751" s="478"/>
      <c r="G751" s="478"/>
      <c r="H751" s="478"/>
      <c r="I751" s="478"/>
    </row>
    <row r="752" spans="1:9" ht="20.25">
      <c r="A752" s="478"/>
      <c r="B752" s="478"/>
      <c r="C752" s="478"/>
      <c r="D752" s="478"/>
      <c r="E752" s="478"/>
      <c r="F752" s="478"/>
      <c r="G752" s="478"/>
      <c r="H752" s="478"/>
      <c r="I752" s="478"/>
    </row>
    <row r="753" spans="1:9" ht="20.25">
      <c r="A753" s="478"/>
      <c r="B753" s="478"/>
      <c r="C753" s="478"/>
      <c r="D753" s="478"/>
      <c r="E753" s="478"/>
      <c r="F753" s="478"/>
      <c r="G753" s="478"/>
      <c r="H753" s="478"/>
      <c r="I753" s="478"/>
    </row>
    <row r="754" spans="1:9" ht="20.25">
      <c r="A754" s="478"/>
      <c r="B754" s="478"/>
      <c r="C754" s="478"/>
      <c r="D754" s="478"/>
      <c r="E754" s="478"/>
      <c r="F754" s="478"/>
      <c r="G754" s="478"/>
      <c r="H754" s="478"/>
      <c r="I754" s="478"/>
    </row>
    <row r="755" spans="1:9" ht="20.25">
      <c r="A755" s="478"/>
      <c r="B755" s="478"/>
      <c r="C755" s="478"/>
      <c r="D755" s="478"/>
      <c r="E755" s="478"/>
      <c r="F755" s="478"/>
      <c r="G755" s="478"/>
      <c r="H755" s="478"/>
      <c r="I755" s="478"/>
    </row>
    <row r="756" spans="1:9" ht="20.25">
      <c r="A756" s="478"/>
      <c r="B756" s="478"/>
      <c r="C756" s="478"/>
      <c r="D756" s="478"/>
      <c r="E756" s="478"/>
      <c r="F756" s="478"/>
      <c r="G756" s="478"/>
      <c r="H756" s="478"/>
      <c r="I756" s="478"/>
    </row>
    <row r="757" spans="1:9" ht="20.25">
      <c r="A757" s="478"/>
      <c r="B757" s="478"/>
      <c r="C757" s="478"/>
      <c r="D757" s="478"/>
      <c r="E757" s="478"/>
      <c r="F757" s="478"/>
      <c r="G757" s="478"/>
      <c r="H757" s="478"/>
      <c r="I757" s="478"/>
    </row>
    <row r="758" spans="1:9" ht="20.25">
      <c r="A758" s="478"/>
      <c r="B758" s="478"/>
      <c r="C758" s="478"/>
      <c r="D758" s="478"/>
      <c r="E758" s="478"/>
      <c r="F758" s="478"/>
      <c r="G758" s="478"/>
      <c r="H758" s="478"/>
      <c r="I758" s="478"/>
    </row>
    <row r="759" spans="1:9" ht="20.25">
      <c r="A759" s="478"/>
      <c r="B759" s="478"/>
      <c r="C759" s="478"/>
      <c r="D759" s="478"/>
      <c r="E759" s="478"/>
      <c r="F759" s="478"/>
      <c r="G759" s="478"/>
      <c r="H759" s="478"/>
      <c r="I759" s="478"/>
    </row>
    <row r="760" spans="1:9" ht="20.25">
      <c r="A760" s="478"/>
      <c r="B760" s="478"/>
      <c r="C760" s="478"/>
      <c r="D760" s="478"/>
      <c r="E760" s="478"/>
      <c r="F760" s="478"/>
      <c r="G760" s="478"/>
      <c r="H760" s="478"/>
      <c r="I760" s="478"/>
    </row>
    <row r="761" spans="1:9" ht="20.25">
      <c r="A761" s="478"/>
      <c r="B761" s="478"/>
      <c r="C761" s="478"/>
      <c r="D761" s="478"/>
      <c r="E761" s="478"/>
      <c r="F761" s="478"/>
      <c r="G761" s="478"/>
      <c r="H761" s="478"/>
      <c r="I761" s="478"/>
    </row>
    <row r="762" spans="1:9" ht="20.25">
      <c r="A762" s="478"/>
      <c r="B762" s="478"/>
      <c r="C762" s="478"/>
      <c r="D762" s="478"/>
      <c r="E762" s="478"/>
      <c r="F762" s="478"/>
      <c r="G762" s="478"/>
      <c r="H762" s="478"/>
      <c r="I762" s="478"/>
    </row>
    <row r="763" spans="1:9" ht="20.25">
      <c r="A763" s="478"/>
      <c r="B763" s="478"/>
      <c r="C763" s="478"/>
      <c r="D763" s="478"/>
      <c r="E763" s="478"/>
      <c r="F763" s="478"/>
      <c r="G763" s="478"/>
      <c r="H763" s="478"/>
      <c r="I763" s="478"/>
    </row>
    <row r="764" spans="1:9" ht="20.25">
      <c r="A764" s="478"/>
      <c r="B764" s="478"/>
      <c r="C764" s="478"/>
      <c r="D764" s="478"/>
      <c r="E764" s="478"/>
      <c r="F764" s="478"/>
      <c r="G764" s="478"/>
      <c r="H764" s="478"/>
      <c r="I764" s="478"/>
    </row>
    <row r="765" spans="1:9" ht="20.25">
      <c r="A765" s="478"/>
      <c r="B765" s="478"/>
      <c r="C765" s="478"/>
      <c r="D765" s="478"/>
      <c r="E765" s="478"/>
      <c r="F765" s="478"/>
      <c r="G765" s="478"/>
      <c r="H765" s="478"/>
      <c r="I765" s="478"/>
    </row>
    <row r="766" spans="1:9" ht="20.25">
      <c r="A766" s="478"/>
      <c r="B766" s="478"/>
      <c r="C766" s="478"/>
      <c r="D766" s="478"/>
      <c r="E766" s="478"/>
      <c r="F766" s="478"/>
      <c r="G766" s="478"/>
      <c r="H766" s="478"/>
      <c r="I766" s="478"/>
    </row>
    <row r="767" spans="1:9" ht="20.25">
      <c r="A767" s="478"/>
      <c r="B767" s="478"/>
      <c r="C767" s="478"/>
      <c r="D767" s="478"/>
      <c r="E767" s="478"/>
      <c r="F767" s="478"/>
      <c r="G767" s="478"/>
      <c r="H767" s="478"/>
      <c r="I767" s="478"/>
    </row>
    <row r="768" spans="1:9" ht="20.25">
      <c r="A768" s="478"/>
      <c r="B768" s="478"/>
      <c r="C768" s="478"/>
      <c r="D768" s="478"/>
      <c r="E768" s="478"/>
      <c r="F768" s="478"/>
      <c r="G768" s="478"/>
      <c r="H768" s="478"/>
      <c r="I768" s="478"/>
    </row>
    <row r="769" spans="1:9" ht="20.25">
      <c r="A769" s="478"/>
      <c r="B769" s="478"/>
      <c r="C769" s="478"/>
      <c r="D769" s="478"/>
      <c r="E769" s="478"/>
      <c r="F769" s="478"/>
      <c r="G769" s="478"/>
      <c r="H769" s="478"/>
      <c r="I769" s="478"/>
    </row>
    <row r="770" spans="1:9" ht="20.25">
      <c r="A770" s="478"/>
      <c r="B770" s="478"/>
      <c r="C770" s="478"/>
      <c r="D770" s="478"/>
      <c r="E770" s="478"/>
      <c r="F770" s="478"/>
      <c r="G770" s="478"/>
      <c r="H770" s="478"/>
      <c r="I770" s="478"/>
    </row>
    <row r="771" spans="1:9" ht="20.25">
      <c r="A771" s="478"/>
      <c r="B771" s="478"/>
      <c r="C771" s="478"/>
      <c r="D771" s="478"/>
      <c r="E771" s="478"/>
      <c r="F771" s="478"/>
      <c r="G771" s="478"/>
      <c r="H771" s="478"/>
      <c r="I771" s="478"/>
    </row>
    <row r="772" spans="1:9" ht="20.25">
      <c r="A772" s="478"/>
      <c r="B772" s="478"/>
      <c r="C772" s="478"/>
      <c r="D772" s="478"/>
      <c r="E772" s="478"/>
      <c r="F772" s="478"/>
      <c r="G772" s="478"/>
      <c r="H772" s="478"/>
      <c r="I772" s="478"/>
    </row>
    <row r="773" spans="1:9" ht="20.25">
      <c r="A773" s="478"/>
      <c r="B773" s="478"/>
      <c r="C773" s="478"/>
      <c r="D773" s="478"/>
      <c r="E773" s="478"/>
      <c r="F773" s="478"/>
      <c r="G773" s="478"/>
      <c r="H773" s="478"/>
      <c r="I773" s="478"/>
    </row>
    <row r="774" spans="1:9" ht="20.25">
      <c r="A774" s="478"/>
      <c r="B774" s="478"/>
      <c r="C774" s="478"/>
      <c r="D774" s="478"/>
      <c r="E774" s="478"/>
      <c r="F774" s="478"/>
      <c r="G774" s="478"/>
      <c r="H774" s="478"/>
      <c r="I774" s="478"/>
    </row>
    <row r="775" spans="1:9" ht="20.25">
      <c r="A775" s="478"/>
      <c r="B775" s="478"/>
      <c r="C775" s="478"/>
      <c r="D775" s="478"/>
      <c r="E775" s="478"/>
      <c r="F775" s="478"/>
      <c r="G775" s="478"/>
      <c r="H775" s="478"/>
      <c r="I775" s="478"/>
    </row>
    <row r="776" spans="1:9" ht="20.25">
      <c r="A776" s="478"/>
      <c r="B776" s="478"/>
      <c r="C776" s="478"/>
      <c r="D776" s="478"/>
      <c r="E776" s="478"/>
      <c r="F776" s="478"/>
      <c r="G776" s="478"/>
      <c r="H776" s="478"/>
      <c r="I776" s="478"/>
    </row>
    <row r="777" spans="1:9" ht="20.25">
      <c r="A777" s="478"/>
      <c r="B777" s="478"/>
      <c r="C777" s="478"/>
      <c r="D777" s="478"/>
      <c r="E777" s="478"/>
      <c r="F777" s="478"/>
      <c r="G777" s="478"/>
      <c r="H777" s="478"/>
      <c r="I777" s="478"/>
    </row>
    <row r="778" spans="1:9" ht="20.25">
      <c r="A778" s="478"/>
      <c r="B778" s="478"/>
      <c r="C778" s="478"/>
      <c r="D778" s="478"/>
      <c r="E778" s="478"/>
      <c r="F778" s="478"/>
      <c r="G778" s="478"/>
      <c r="H778" s="478"/>
      <c r="I778" s="478"/>
    </row>
    <row r="779" spans="1:9" ht="20.25">
      <c r="A779" s="478"/>
      <c r="B779" s="478"/>
      <c r="C779" s="478"/>
      <c r="D779" s="478"/>
      <c r="E779" s="478"/>
      <c r="F779" s="478"/>
      <c r="G779" s="478"/>
      <c r="H779" s="478"/>
      <c r="I779" s="478"/>
    </row>
    <row r="780" spans="1:9" ht="20.25">
      <c r="A780" s="478"/>
      <c r="B780" s="478"/>
      <c r="C780" s="478"/>
      <c r="D780" s="478"/>
      <c r="E780" s="478"/>
      <c r="F780" s="478"/>
      <c r="G780" s="478"/>
      <c r="H780" s="478"/>
      <c r="I780" s="478"/>
    </row>
    <row r="781" spans="1:9" ht="20.25">
      <c r="A781" s="478"/>
      <c r="B781" s="478"/>
      <c r="C781" s="478"/>
      <c r="D781" s="478"/>
      <c r="E781" s="478"/>
      <c r="F781" s="478"/>
      <c r="G781" s="478"/>
      <c r="H781" s="478"/>
      <c r="I781" s="478"/>
    </row>
    <row r="782" spans="1:9" ht="20.25">
      <c r="A782" s="478"/>
      <c r="B782" s="478"/>
      <c r="C782" s="478"/>
      <c r="D782" s="478"/>
      <c r="E782" s="478"/>
      <c r="F782" s="478"/>
      <c r="G782" s="478"/>
      <c r="H782" s="478"/>
      <c r="I782" s="478"/>
    </row>
    <row r="783" spans="1:9" ht="20.25">
      <c r="A783" s="478"/>
      <c r="B783" s="478"/>
      <c r="C783" s="478"/>
      <c r="D783" s="478"/>
      <c r="E783" s="478"/>
      <c r="F783" s="478"/>
      <c r="G783" s="478"/>
      <c r="H783" s="478"/>
      <c r="I783" s="478"/>
    </row>
    <row r="784" spans="1:9" ht="20.25">
      <c r="A784" s="478"/>
      <c r="B784" s="478"/>
      <c r="C784" s="478"/>
      <c r="D784" s="478"/>
      <c r="E784" s="478"/>
      <c r="F784" s="478"/>
      <c r="G784" s="478"/>
      <c r="H784" s="478"/>
      <c r="I784" s="478"/>
    </row>
    <row r="785" spans="1:9" ht="20.25">
      <c r="A785" s="478"/>
      <c r="B785" s="478"/>
      <c r="C785" s="478"/>
      <c r="D785" s="478"/>
      <c r="E785" s="478"/>
      <c r="F785" s="478"/>
      <c r="G785" s="478"/>
      <c r="H785" s="478"/>
      <c r="I785" s="478"/>
    </row>
    <row r="786" spans="1:9" ht="20.25">
      <c r="A786" s="478"/>
      <c r="B786" s="478"/>
      <c r="C786" s="478"/>
      <c r="D786" s="478"/>
      <c r="E786" s="478"/>
      <c r="F786" s="478"/>
      <c r="G786" s="478"/>
      <c r="H786" s="478"/>
      <c r="I786" s="478"/>
    </row>
    <row r="787" spans="1:9" ht="20.25">
      <c r="A787" s="478"/>
      <c r="B787" s="478"/>
      <c r="C787" s="478"/>
      <c r="D787" s="478"/>
      <c r="E787" s="478"/>
      <c r="F787" s="478"/>
      <c r="G787" s="478"/>
      <c r="H787" s="478"/>
      <c r="I787" s="478"/>
    </row>
    <row r="788" spans="1:9" ht="20.25">
      <c r="A788" s="478"/>
      <c r="B788" s="478"/>
      <c r="C788" s="478"/>
      <c r="D788" s="478"/>
      <c r="E788" s="478"/>
      <c r="F788" s="478"/>
      <c r="G788" s="478"/>
      <c r="H788" s="478"/>
      <c r="I788" s="478"/>
    </row>
    <row r="789" spans="1:9" ht="20.25">
      <c r="A789" s="478"/>
      <c r="B789" s="478"/>
      <c r="C789" s="478"/>
      <c r="D789" s="478"/>
      <c r="E789" s="478"/>
      <c r="F789" s="478"/>
      <c r="G789" s="478"/>
      <c r="H789" s="478"/>
      <c r="I789" s="478"/>
    </row>
    <row r="790" spans="1:9" ht="20.25">
      <c r="A790" s="478"/>
      <c r="B790" s="478"/>
      <c r="C790" s="478"/>
      <c r="D790" s="478"/>
      <c r="E790" s="478"/>
      <c r="F790" s="478"/>
      <c r="G790" s="478"/>
      <c r="H790" s="478"/>
      <c r="I790" s="478"/>
    </row>
    <row r="791" spans="1:9" ht="20.25">
      <c r="A791" s="478"/>
      <c r="B791" s="478"/>
      <c r="C791" s="478"/>
      <c r="D791" s="478"/>
      <c r="E791" s="478"/>
      <c r="F791" s="478"/>
      <c r="G791" s="478"/>
      <c r="H791" s="478"/>
      <c r="I791" s="478"/>
    </row>
    <row r="792" spans="1:9" ht="20.25">
      <c r="A792" s="478"/>
      <c r="B792" s="478"/>
      <c r="C792" s="478"/>
      <c r="D792" s="478"/>
      <c r="E792" s="478"/>
      <c r="F792" s="478"/>
      <c r="G792" s="478"/>
      <c r="H792" s="478"/>
      <c r="I792" s="478"/>
    </row>
    <row r="793" spans="1:9" ht="20.25">
      <c r="A793" s="478"/>
      <c r="B793" s="478"/>
      <c r="C793" s="478"/>
      <c r="D793" s="478"/>
      <c r="E793" s="478"/>
      <c r="F793" s="478"/>
      <c r="G793" s="478"/>
      <c r="H793" s="478"/>
      <c r="I793" s="478"/>
    </row>
    <row r="794" spans="1:9" ht="20.25">
      <c r="A794" s="478"/>
      <c r="B794" s="478"/>
      <c r="C794" s="478"/>
      <c r="D794" s="478"/>
      <c r="E794" s="478"/>
      <c r="F794" s="478"/>
      <c r="G794" s="478"/>
      <c r="H794" s="478"/>
      <c r="I794" s="478"/>
    </row>
    <row r="795" spans="1:9" ht="20.25">
      <c r="A795" s="478"/>
      <c r="B795" s="478"/>
      <c r="C795" s="478"/>
      <c r="D795" s="478"/>
      <c r="E795" s="478"/>
      <c r="F795" s="478"/>
      <c r="G795" s="478"/>
      <c r="H795" s="478"/>
      <c r="I795" s="478"/>
    </row>
    <row r="796" spans="1:9" ht="20.25">
      <c r="A796" s="478"/>
      <c r="B796" s="478"/>
      <c r="C796" s="478"/>
      <c r="D796" s="478"/>
      <c r="E796" s="478"/>
      <c r="F796" s="478"/>
      <c r="G796" s="478"/>
      <c r="H796" s="478"/>
      <c r="I796" s="478"/>
    </row>
    <row r="797" spans="1:9" ht="20.25">
      <c r="A797" s="478"/>
      <c r="B797" s="478"/>
      <c r="C797" s="478"/>
      <c r="D797" s="478"/>
      <c r="E797" s="478"/>
      <c r="F797" s="478"/>
      <c r="G797" s="478"/>
      <c r="H797" s="478"/>
      <c r="I797" s="478"/>
    </row>
    <row r="798" spans="1:9" ht="20.25">
      <c r="A798" s="478"/>
      <c r="B798" s="478"/>
      <c r="C798" s="478"/>
      <c r="D798" s="478"/>
      <c r="E798" s="478"/>
      <c r="F798" s="478"/>
      <c r="G798" s="478"/>
      <c r="H798" s="478"/>
      <c r="I798" s="478"/>
    </row>
    <row r="799" spans="1:9" ht="20.25">
      <c r="A799" s="478"/>
      <c r="B799" s="478"/>
      <c r="C799" s="478"/>
      <c r="D799" s="478"/>
      <c r="E799" s="478"/>
      <c r="F799" s="478"/>
      <c r="G799" s="478"/>
      <c r="H799" s="478"/>
      <c r="I799" s="478"/>
    </row>
    <row r="800" spans="1:9" ht="20.25">
      <c r="A800" s="478"/>
      <c r="B800" s="478"/>
      <c r="C800" s="478"/>
      <c r="D800" s="478"/>
      <c r="E800" s="478"/>
      <c r="F800" s="478"/>
      <c r="G800" s="478"/>
      <c r="H800" s="478"/>
      <c r="I800" s="478"/>
    </row>
    <row r="801" spans="1:9" ht="20.25">
      <c r="A801" s="478"/>
      <c r="B801" s="478"/>
      <c r="C801" s="478"/>
      <c r="D801" s="478"/>
      <c r="E801" s="478"/>
      <c r="F801" s="478"/>
      <c r="G801" s="478"/>
      <c r="H801" s="478"/>
      <c r="I801" s="478"/>
    </row>
    <row r="802" spans="1:9" ht="20.25">
      <c r="A802" s="478"/>
      <c r="B802" s="478"/>
      <c r="C802" s="478"/>
      <c r="D802" s="478"/>
      <c r="E802" s="478"/>
      <c r="F802" s="478"/>
      <c r="G802" s="478"/>
      <c r="H802" s="478"/>
      <c r="I802" s="478"/>
    </row>
    <row r="803" spans="1:9" ht="20.25">
      <c r="A803" s="478"/>
      <c r="B803" s="478"/>
      <c r="C803" s="478"/>
      <c r="D803" s="478"/>
      <c r="E803" s="478"/>
      <c r="F803" s="478"/>
      <c r="G803" s="478"/>
      <c r="H803" s="478"/>
      <c r="I803" s="478"/>
    </row>
    <row r="804" spans="1:9" ht="20.25">
      <c r="A804" s="478"/>
      <c r="B804" s="478"/>
      <c r="C804" s="478"/>
      <c r="D804" s="478"/>
      <c r="E804" s="478"/>
      <c r="F804" s="478"/>
      <c r="G804" s="478"/>
      <c r="H804" s="478"/>
      <c r="I804" s="478"/>
    </row>
    <row r="805" spans="1:9" ht="20.25">
      <c r="A805" s="478"/>
      <c r="B805" s="478"/>
      <c r="C805" s="478"/>
      <c r="D805" s="478"/>
      <c r="E805" s="478"/>
      <c r="F805" s="478"/>
      <c r="G805" s="478"/>
      <c r="H805" s="478"/>
      <c r="I805" s="478"/>
    </row>
    <row r="806" spans="1:9" ht="20.25">
      <c r="A806" s="478"/>
      <c r="B806" s="478"/>
      <c r="C806" s="478"/>
      <c r="D806" s="478"/>
      <c r="E806" s="478"/>
      <c r="F806" s="478"/>
      <c r="G806" s="478"/>
      <c r="H806" s="478"/>
      <c r="I806" s="478"/>
    </row>
    <row r="807" spans="1:9" ht="20.25">
      <c r="A807" s="478"/>
      <c r="B807" s="478"/>
      <c r="C807" s="478"/>
      <c r="D807" s="478"/>
      <c r="E807" s="478"/>
      <c r="F807" s="478"/>
      <c r="G807" s="478"/>
      <c r="H807" s="478"/>
      <c r="I807" s="478"/>
    </row>
    <row r="808" spans="1:9" ht="20.25">
      <c r="A808" s="478"/>
      <c r="B808" s="478"/>
      <c r="C808" s="478"/>
      <c r="D808" s="478"/>
      <c r="E808" s="478"/>
      <c r="F808" s="478"/>
      <c r="G808" s="478"/>
      <c r="H808" s="478"/>
      <c r="I808" s="478"/>
    </row>
    <row r="809" spans="1:9" ht="20.25">
      <c r="A809" s="478"/>
      <c r="B809" s="478"/>
      <c r="C809" s="478"/>
      <c r="D809" s="478"/>
      <c r="E809" s="478"/>
      <c r="F809" s="478"/>
      <c r="G809" s="478"/>
      <c r="H809" s="478"/>
      <c r="I809" s="478"/>
    </row>
    <row r="810" spans="1:9" ht="20.25">
      <c r="A810" s="478"/>
      <c r="B810" s="478"/>
      <c r="C810" s="478"/>
      <c r="D810" s="478"/>
      <c r="E810" s="478"/>
      <c r="F810" s="478"/>
      <c r="G810" s="478"/>
      <c r="H810" s="478"/>
      <c r="I810" s="478"/>
    </row>
    <row r="811" spans="1:9" ht="20.25">
      <c r="A811" s="478"/>
      <c r="B811" s="478"/>
      <c r="C811" s="478"/>
      <c r="D811" s="478"/>
      <c r="E811" s="478"/>
      <c r="F811" s="478"/>
      <c r="G811" s="478"/>
      <c r="H811" s="478"/>
      <c r="I811" s="478"/>
    </row>
    <row r="812" spans="1:9" ht="20.25">
      <c r="A812" s="478"/>
      <c r="B812" s="478"/>
      <c r="C812" s="478"/>
      <c r="D812" s="478"/>
      <c r="E812" s="478"/>
      <c r="F812" s="478"/>
      <c r="G812" s="478"/>
      <c r="H812" s="478"/>
      <c r="I812" s="478"/>
    </row>
    <row r="813" spans="1:9" ht="20.25">
      <c r="A813" s="478"/>
      <c r="B813" s="478"/>
      <c r="C813" s="478"/>
      <c r="D813" s="478"/>
      <c r="E813" s="478"/>
      <c r="F813" s="478"/>
      <c r="G813" s="478"/>
      <c r="H813" s="478"/>
      <c r="I813" s="478"/>
    </row>
    <row r="814" spans="1:9" ht="20.25">
      <c r="A814" s="478"/>
      <c r="B814" s="478"/>
      <c r="C814" s="478"/>
      <c r="D814" s="478"/>
      <c r="E814" s="478"/>
      <c r="F814" s="478"/>
      <c r="G814" s="478"/>
      <c r="H814" s="478"/>
      <c r="I814" s="478"/>
    </row>
    <row r="815" spans="1:9" ht="20.25">
      <c r="A815" s="478"/>
      <c r="B815" s="478"/>
      <c r="C815" s="478"/>
      <c r="D815" s="478"/>
      <c r="E815" s="478"/>
      <c r="F815" s="478"/>
      <c r="G815" s="478"/>
      <c r="H815" s="478"/>
      <c r="I815" s="478"/>
    </row>
    <row r="816" spans="1:9" ht="20.25">
      <c r="A816" s="478"/>
      <c r="B816" s="478"/>
      <c r="C816" s="478"/>
      <c r="D816" s="478"/>
      <c r="E816" s="478"/>
      <c r="F816" s="478"/>
      <c r="G816" s="478"/>
      <c r="H816" s="478"/>
      <c r="I816" s="478"/>
    </row>
    <row r="817" spans="1:9" ht="20.25">
      <c r="A817" s="478"/>
      <c r="B817" s="478"/>
      <c r="C817" s="478"/>
      <c r="D817" s="478"/>
      <c r="E817" s="478"/>
      <c r="F817" s="478"/>
      <c r="G817" s="478"/>
      <c r="H817" s="478"/>
      <c r="I817" s="478"/>
    </row>
    <row r="818" spans="1:9" ht="20.25">
      <c r="A818" s="478"/>
      <c r="B818" s="478"/>
      <c r="C818" s="478"/>
      <c r="D818" s="478"/>
      <c r="E818" s="478"/>
      <c r="F818" s="478"/>
      <c r="G818" s="478"/>
      <c r="H818" s="478"/>
      <c r="I818" s="478"/>
    </row>
    <row r="819" spans="1:9" ht="20.25">
      <c r="A819" s="478"/>
      <c r="B819" s="478"/>
      <c r="C819" s="478"/>
      <c r="D819" s="478"/>
      <c r="E819" s="478"/>
      <c r="F819" s="478"/>
      <c r="G819" s="478"/>
      <c r="H819" s="478"/>
      <c r="I819" s="478"/>
    </row>
    <row r="820" spans="1:9" ht="20.25">
      <c r="A820" s="478"/>
      <c r="B820" s="478"/>
      <c r="C820" s="478"/>
      <c r="D820" s="478"/>
      <c r="E820" s="478"/>
      <c r="F820" s="478"/>
      <c r="G820" s="478"/>
      <c r="H820" s="478"/>
      <c r="I820" s="478"/>
    </row>
    <row r="821" spans="1:9" ht="20.25">
      <c r="A821" s="478"/>
      <c r="B821" s="478"/>
      <c r="C821" s="478"/>
      <c r="D821" s="478"/>
      <c r="E821" s="478"/>
      <c r="F821" s="478"/>
      <c r="G821" s="478"/>
      <c r="H821" s="478"/>
      <c r="I821" s="478"/>
    </row>
    <row r="822" spans="1:9" ht="20.25">
      <c r="A822" s="478"/>
      <c r="B822" s="478"/>
      <c r="C822" s="478"/>
      <c r="D822" s="478"/>
      <c r="E822" s="478"/>
      <c r="F822" s="478"/>
      <c r="G822" s="478"/>
      <c r="H822" s="478"/>
      <c r="I822" s="478"/>
    </row>
    <row r="823" spans="1:9" ht="20.25">
      <c r="A823" s="478"/>
      <c r="B823" s="478"/>
      <c r="C823" s="478"/>
      <c r="D823" s="478"/>
      <c r="E823" s="478"/>
      <c r="F823" s="478"/>
      <c r="G823" s="478"/>
      <c r="H823" s="478"/>
      <c r="I823" s="478"/>
    </row>
    <row r="824" spans="1:9" ht="20.25">
      <c r="A824" s="478"/>
      <c r="B824" s="478"/>
      <c r="C824" s="478"/>
      <c r="D824" s="478"/>
      <c r="E824" s="478"/>
      <c r="F824" s="478"/>
      <c r="G824" s="478"/>
      <c r="H824" s="478"/>
      <c r="I824" s="478"/>
    </row>
    <row r="825" spans="1:9" ht="20.25">
      <c r="A825" s="478"/>
      <c r="B825" s="478"/>
      <c r="C825" s="478"/>
      <c r="D825" s="478"/>
      <c r="E825" s="478"/>
      <c r="F825" s="478"/>
      <c r="G825" s="478"/>
      <c r="H825" s="478"/>
      <c r="I825" s="478"/>
    </row>
    <row r="826" spans="1:9" ht="20.25">
      <c r="A826" s="478"/>
      <c r="B826" s="478"/>
      <c r="C826" s="478"/>
      <c r="D826" s="478"/>
      <c r="E826" s="478"/>
      <c r="F826" s="478"/>
      <c r="G826" s="478"/>
      <c r="H826" s="478"/>
      <c r="I826" s="478"/>
    </row>
    <row r="827" spans="1:9" ht="20.25">
      <c r="A827" s="478"/>
      <c r="B827" s="478"/>
      <c r="C827" s="478"/>
      <c r="D827" s="478"/>
      <c r="E827" s="478"/>
      <c r="F827" s="478"/>
      <c r="G827" s="478"/>
      <c r="H827" s="478"/>
      <c r="I827" s="478"/>
    </row>
    <row r="828" spans="1:9" ht="20.25">
      <c r="A828" s="478"/>
      <c r="B828" s="478"/>
      <c r="C828" s="478"/>
      <c r="D828" s="478"/>
      <c r="E828" s="478"/>
      <c r="F828" s="478"/>
      <c r="G828" s="478"/>
      <c r="H828" s="478"/>
      <c r="I828" s="478"/>
    </row>
    <row r="829" spans="1:9" ht="20.25">
      <c r="A829" s="478"/>
      <c r="B829" s="478"/>
      <c r="C829" s="478"/>
      <c r="D829" s="478"/>
      <c r="E829" s="478"/>
      <c r="F829" s="478"/>
      <c r="G829" s="478"/>
      <c r="H829" s="478"/>
      <c r="I829" s="478"/>
    </row>
    <row r="830" spans="1:9" ht="20.25">
      <c r="A830" s="478"/>
      <c r="B830" s="478"/>
      <c r="C830" s="478"/>
      <c r="D830" s="478"/>
      <c r="E830" s="478"/>
      <c r="F830" s="478"/>
      <c r="G830" s="478"/>
      <c r="H830" s="478"/>
      <c r="I830" s="478"/>
    </row>
    <row r="831" spans="1:9" ht="20.25">
      <c r="A831" s="478"/>
      <c r="B831" s="478"/>
      <c r="C831" s="478"/>
      <c r="D831" s="478"/>
      <c r="E831" s="478"/>
      <c r="F831" s="478"/>
      <c r="G831" s="478"/>
      <c r="H831" s="478"/>
      <c r="I831" s="478"/>
    </row>
    <row r="832" spans="1:9" ht="20.25">
      <c r="A832" s="478"/>
      <c r="B832" s="478"/>
      <c r="C832" s="478"/>
      <c r="D832" s="478"/>
      <c r="E832" s="478"/>
      <c r="F832" s="478"/>
      <c r="G832" s="478"/>
      <c r="H832" s="478"/>
      <c r="I832" s="478"/>
    </row>
    <row r="833" spans="1:9" ht="20.25">
      <c r="A833" s="478"/>
      <c r="B833" s="478"/>
      <c r="C833" s="478"/>
      <c r="D833" s="478"/>
      <c r="E833" s="478"/>
      <c r="F833" s="478"/>
      <c r="G833" s="478"/>
      <c r="H833" s="478"/>
      <c r="I833" s="478"/>
    </row>
    <row r="834" spans="1:9" ht="20.25">
      <c r="A834" s="478"/>
      <c r="B834" s="478"/>
      <c r="C834" s="478"/>
      <c r="D834" s="478"/>
      <c r="E834" s="478"/>
      <c r="F834" s="478"/>
      <c r="G834" s="478"/>
      <c r="H834" s="478"/>
      <c r="I834" s="478"/>
    </row>
    <row r="835" spans="1:9" ht="20.25">
      <c r="A835" s="478"/>
      <c r="B835" s="478"/>
      <c r="C835" s="478"/>
      <c r="D835" s="478"/>
      <c r="E835" s="478"/>
      <c r="F835" s="478"/>
      <c r="G835" s="478"/>
      <c r="H835" s="478"/>
      <c r="I835" s="478"/>
    </row>
    <row r="836" spans="1:9" ht="20.25">
      <c r="A836" s="478"/>
      <c r="B836" s="478"/>
      <c r="C836" s="478"/>
      <c r="D836" s="478"/>
      <c r="E836" s="478"/>
      <c r="F836" s="478"/>
      <c r="G836" s="478"/>
      <c r="H836" s="478"/>
      <c r="I836" s="478"/>
    </row>
    <row r="837" spans="1:9" ht="20.25">
      <c r="A837" s="478"/>
      <c r="B837" s="478"/>
      <c r="C837" s="478"/>
      <c r="D837" s="478"/>
      <c r="E837" s="478"/>
      <c r="F837" s="478"/>
      <c r="G837" s="478"/>
      <c r="H837" s="478"/>
      <c r="I837" s="478"/>
    </row>
    <row r="838" spans="1:9" ht="20.25">
      <c r="A838" s="478"/>
      <c r="B838" s="478"/>
      <c r="C838" s="478"/>
      <c r="D838" s="478"/>
      <c r="E838" s="478"/>
      <c r="F838" s="478"/>
      <c r="G838" s="478"/>
      <c r="H838" s="478"/>
      <c r="I838" s="478"/>
    </row>
    <row r="839" spans="1:9" ht="20.25">
      <c r="A839" s="478"/>
      <c r="B839" s="478"/>
      <c r="C839" s="478"/>
      <c r="D839" s="478"/>
      <c r="E839" s="478"/>
      <c r="F839" s="478"/>
      <c r="G839" s="478"/>
      <c r="H839" s="478"/>
      <c r="I839" s="478"/>
    </row>
    <row r="840" spans="1:9" ht="20.25">
      <c r="A840" s="478"/>
      <c r="B840" s="478"/>
      <c r="C840" s="478"/>
      <c r="D840" s="478"/>
      <c r="E840" s="478"/>
      <c r="F840" s="478"/>
      <c r="G840" s="478"/>
      <c r="H840" s="478"/>
      <c r="I840" s="478"/>
    </row>
    <row r="841" spans="1:9" ht="20.25">
      <c r="A841" s="478"/>
      <c r="B841" s="478"/>
      <c r="C841" s="478"/>
      <c r="D841" s="478"/>
      <c r="E841" s="478"/>
      <c r="F841" s="478"/>
      <c r="G841" s="478"/>
      <c r="H841" s="478"/>
      <c r="I841" s="478"/>
    </row>
    <row r="842" spans="1:9" ht="20.25">
      <c r="A842" s="478"/>
      <c r="B842" s="478"/>
      <c r="C842" s="478"/>
      <c r="D842" s="478"/>
      <c r="E842" s="478"/>
      <c r="F842" s="478"/>
      <c r="G842" s="478"/>
      <c r="H842" s="478"/>
      <c r="I842" s="478"/>
    </row>
    <row r="843" spans="1:9" ht="20.25">
      <c r="A843" s="478"/>
      <c r="B843" s="478"/>
      <c r="C843" s="478"/>
      <c r="D843" s="478"/>
      <c r="E843" s="478"/>
      <c r="F843" s="478"/>
      <c r="G843" s="478"/>
      <c r="H843" s="478"/>
      <c r="I843" s="478"/>
    </row>
    <row r="844" spans="1:9" ht="20.25">
      <c r="A844" s="478"/>
      <c r="B844" s="478"/>
      <c r="C844" s="478"/>
      <c r="D844" s="478"/>
      <c r="E844" s="478"/>
      <c r="F844" s="478"/>
      <c r="G844" s="478"/>
      <c r="H844" s="478"/>
      <c r="I844" s="478"/>
    </row>
    <row r="845" spans="1:9" ht="20.25">
      <c r="A845" s="478"/>
      <c r="B845" s="478"/>
      <c r="C845" s="478"/>
      <c r="D845" s="478"/>
      <c r="E845" s="478"/>
      <c r="F845" s="478"/>
      <c r="G845" s="478"/>
      <c r="H845" s="478"/>
      <c r="I845" s="478"/>
    </row>
    <row r="846" spans="1:9" ht="20.25">
      <c r="A846" s="478"/>
      <c r="B846" s="478"/>
      <c r="C846" s="478"/>
      <c r="D846" s="478"/>
      <c r="E846" s="478"/>
      <c r="F846" s="478"/>
      <c r="G846" s="478"/>
      <c r="H846" s="478"/>
      <c r="I846" s="478"/>
    </row>
    <row r="847" spans="1:9" ht="20.25">
      <c r="A847" s="478"/>
      <c r="B847" s="478"/>
      <c r="C847" s="478"/>
      <c r="D847" s="478"/>
      <c r="E847" s="478"/>
      <c r="F847" s="478"/>
      <c r="G847" s="478"/>
      <c r="H847" s="478"/>
      <c r="I847" s="478"/>
    </row>
    <row r="848" spans="1:9" ht="20.25">
      <c r="A848" s="478"/>
      <c r="B848" s="478"/>
      <c r="C848" s="478"/>
      <c r="D848" s="478"/>
      <c r="E848" s="478"/>
      <c r="F848" s="478"/>
      <c r="G848" s="478"/>
      <c r="H848" s="478"/>
      <c r="I848" s="478"/>
    </row>
    <row r="849" spans="1:9" ht="20.25">
      <c r="A849" s="478"/>
      <c r="B849" s="478"/>
      <c r="C849" s="478"/>
      <c r="D849" s="478"/>
      <c r="E849" s="478"/>
      <c r="F849" s="478"/>
      <c r="G849" s="478"/>
      <c r="H849" s="478"/>
      <c r="I849" s="478"/>
    </row>
    <row r="850" spans="1:9" ht="20.25">
      <c r="A850" s="478"/>
      <c r="B850" s="478"/>
      <c r="C850" s="478"/>
      <c r="D850" s="478"/>
      <c r="E850" s="478"/>
      <c r="F850" s="478"/>
      <c r="G850" s="478"/>
      <c r="H850" s="478"/>
      <c r="I850" s="478"/>
    </row>
    <row r="851" spans="1:9" ht="20.25">
      <c r="A851" s="478"/>
      <c r="B851" s="478"/>
      <c r="C851" s="478"/>
      <c r="D851" s="478"/>
      <c r="E851" s="478"/>
      <c r="F851" s="478"/>
      <c r="G851" s="478"/>
      <c r="H851" s="478"/>
      <c r="I851" s="478"/>
    </row>
    <row r="852" spans="1:9" ht="20.25">
      <c r="A852" s="478"/>
      <c r="B852" s="478"/>
      <c r="C852" s="478"/>
      <c r="D852" s="478"/>
      <c r="E852" s="478"/>
      <c r="F852" s="478"/>
      <c r="G852" s="478"/>
      <c r="H852" s="478"/>
      <c r="I852" s="478"/>
    </row>
    <row r="853" spans="1:9" ht="20.25">
      <c r="A853" s="478"/>
      <c r="B853" s="478"/>
      <c r="C853" s="478"/>
      <c r="D853" s="478"/>
      <c r="E853" s="478"/>
      <c r="F853" s="478"/>
      <c r="G853" s="478"/>
      <c r="H853" s="478"/>
      <c r="I853" s="478"/>
    </row>
    <row r="854" spans="1:9" ht="20.25">
      <c r="A854" s="478"/>
      <c r="B854" s="478"/>
      <c r="C854" s="478"/>
      <c r="D854" s="478"/>
      <c r="E854" s="478"/>
      <c r="F854" s="478"/>
      <c r="G854" s="478"/>
      <c r="H854" s="478"/>
      <c r="I854" s="478"/>
    </row>
    <row r="855" spans="1:9" ht="20.25">
      <c r="A855" s="478"/>
      <c r="B855" s="478"/>
      <c r="C855" s="478"/>
      <c r="D855" s="478"/>
      <c r="E855" s="478"/>
      <c r="F855" s="478"/>
      <c r="G855" s="478"/>
      <c r="H855" s="478"/>
      <c r="I855" s="478"/>
    </row>
    <row r="856" spans="1:9" ht="20.25">
      <c r="A856" s="478"/>
      <c r="B856" s="478"/>
      <c r="C856" s="478"/>
      <c r="D856" s="478"/>
      <c r="E856" s="478"/>
      <c r="F856" s="478"/>
      <c r="G856" s="478"/>
      <c r="H856" s="478"/>
      <c r="I856" s="478"/>
    </row>
    <row r="857" spans="1:9" ht="20.25">
      <c r="A857" s="478"/>
      <c r="B857" s="478"/>
      <c r="C857" s="478"/>
      <c r="D857" s="478"/>
      <c r="E857" s="478"/>
      <c r="F857" s="478"/>
      <c r="G857" s="478"/>
      <c r="H857" s="478"/>
      <c r="I857" s="478"/>
    </row>
    <row r="858" spans="1:9" ht="20.25">
      <c r="A858" s="478"/>
      <c r="B858" s="478"/>
      <c r="C858" s="478"/>
      <c r="D858" s="478"/>
      <c r="E858" s="478"/>
      <c r="F858" s="478"/>
      <c r="G858" s="478"/>
      <c r="H858" s="478"/>
      <c r="I858" s="478"/>
    </row>
    <row r="859" spans="1:9" ht="20.25">
      <c r="A859" s="478"/>
      <c r="B859" s="478"/>
      <c r="C859" s="478"/>
      <c r="D859" s="478"/>
      <c r="E859" s="478"/>
      <c r="F859" s="478"/>
      <c r="G859" s="478"/>
      <c r="H859" s="478"/>
      <c r="I859" s="478"/>
    </row>
    <row r="860" spans="1:9" ht="20.25">
      <c r="A860" s="478"/>
      <c r="B860" s="478"/>
      <c r="C860" s="478"/>
      <c r="D860" s="478"/>
      <c r="E860" s="478"/>
      <c r="F860" s="478"/>
      <c r="G860" s="478"/>
      <c r="H860" s="478"/>
      <c r="I860" s="478"/>
    </row>
    <row r="861" spans="1:9" ht="20.25">
      <c r="A861" s="478"/>
      <c r="B861" s="478"/>
      <c r="C861" s="478"/>
      <c r="D861" s="478"/>
      <c r="E861" s="478"/>
      <c r="F861" s="478"/>
      <c r="G861" s="478"/>
      <c r="H861" s="478"/>
      <c r="I861" s="478"/>
    </row>
    <row r="862" spans="1:9" ht="20.25">
      <c r="A862" s="478"/>
      <c r="B862" s="478"/>
      <c r="C862" s="478"/>
      <c r="D862" s="478"/>
      <c r="E862" s="478"/>
      <c r="F862" s="478"/>
      <c r="G862" s="478"/>
      <c r="H862" s="478"/>
      <c r="I862" s="478"/>
    </row>
    <row r="863" spans="1:9" ht="20.25">
      <c r="A863" s="478"/>
      <c r="B863" s="478"/>
      <c r="C863" s="478"/>
      <c r="D863" s="478"/>
      <c r="E863" s="478"/>
      <c r="F863" s="478"/>
      <c r="G863" s="478"/>
      <c r="H863" s="478"/>
      <c r="I863" s="478"/>
    </row>
    <row r="864" spans="1:9" ht="20.25">
      <c r="A864" s="478"/>
      <c r="B864" s="478"/>
      <c r="C864" s="478"/>
      <c r="D864" s="478"/>
      <c r="E864" s="478"/>
      <c r="F864" s="478"/>
      <c r="G864" s="478"/>
      <c r="H864" s="478"/>
      <c r="I864" s="478"/>
    </row>
    <row r="865" spans="1:9" ht="20.25">
      <c r="A865" s="478"/>
      <c r="B865" s="478"/>
      <c r="C865" s="478"/>
      <c r="D865" s="478"/>
      <c r="E865" s="478"/>
      <c r="F865" s="478"/>
      <c r="G865" s="478"/>
      <c r="H865" s="478"/>
      <c r="I865" s="478"/>
    </row>
    <row r="866" spans="1:9" ht="20.25">
      <c r="A866" s="478"/>
      <c r="B866" s="478"/>
      <c r="C866" s="478"/>
      <c r="D866" s="478"/>
      <c r="E866" s="478"/>
      <c r="F866" s="478"/>
      <c r="G866" s="478"/>
      <c r="H866" s="478"/>
      <c r="I866" s="478"/>
    </row>
    <row r="867" spans="1:9" ht="20.25">
      <c r="A867" s="478"/>
      <c r="B867" s="478"/>
      <c r="C867" s="478"/>
      <c r="D867" s="478"/>
      <c r="E867" s="478"/>
      <c r="F867" s="478"/>
      <c r="G867" s="478"/>
      <c r="H867" s="478"/>
      <c r="I867" s="478"/>
    </row>
    <row r="868" spans="1:9" ht="20.25">
      <c r="A868" s="478"/>
      <c r="B868" s="478"/>
      <c r="C868" s="478"/>
      <c r="D868" s="478"/>
      <c r="E868" s="478"/>
      <c r="F868" s="478"/>
      <c r="G868" s="478"/>
      <c r="H868" s="478"/>
      <c r="I868" s="478"/>
    </row>
    <row r="869" spans="1:9" ht="20.25">
      <c r="A869" s="478"/>
      <c r="B869" s="478"/>
      <c r="C869" s="478"/>
      <c r="D869" s="478"/>
      <c r="E869" s="478"/>
      <c r="F869" s="478"/>
      <c r="G869" s="478"/>
      <c r="H869" s="478"/>
      <c r="I869" s="478"/>
    </row>
    <row r="870" spans="1:9" ht="20.25">
      <c r="A870" s="478"/>
      <c r="B870" s="478"/>
      <c r="C870" s="478"/>
      <c r="D870" s="478"/>
      <c r="E870" s="478"/>
      <c r="F870" s="478"/>
      <c r="G870" s="478"/>
      <c r="H870" s="478"/>
      <c r="I870" s="478"/>
    </row>
    <row r="871" spans="1:9" ht="20.25">
      <c r="A871" s="478"/>
      <c r="B871" s="478"/>
      <c r="C871" s="478"/>
      <c r="D871" s="478"/>
      <c r="E871" s="478"/>
      <c r="F871" s="478"/>
      <c r="G871" s="478"/>
      <c r="H871" s="478"/>
      <c r="I871" s="478"/>
    </row>
    <row r="872" spans="1:9" ht="20.25">
      <c r="A872" s="478"/>
      <c r="B872" s="478"/>
      <c r="C872" s="478"/>
      <c r="D872" s="478"/>
      <c r="E872" s="478"/>
      <c r="F872" s="478"/>
      <c r="G872" s="478"/>
      <c r="H872" s="478"/>
      <c r="I872" s="478"/>
    </row>
    <row r="873" spans="1:9" ht="20.25">
      <c r="A873" s="478"/>
      <c r="B873" s="478"/>
      <c r="C873" s="478"/>
      <c r="D873" s="478"/>
      <c r="E873" s="478"/>
      <c r="F873" s="478"/>
      <c r="G873" s="478"/>
      <c r="H873" s="478"/>
      <c r="I873" s="478"/>
    </row>
    <row r="874" spans="1:9" ht="20.25">
      <c r="A874" s="478"/>
      <c r="B874" s="478"/>
      <c r="C874" s="478"/>
      <c r="D874" s="478"/>
      <c r="E874" s="478"/>
      <c r="F874" s="478"/>
      <c r="G874" s="478"/>
      <c r="H874" s="478"/>
      <c r="I874" s="478"/>
    </row>
    <row r="875" spans="1:9" ht="20.25">
      <c r="A875" s="478"/>
      <c r="B875" s="478"/>
      <c r="C875" s="478"/>
      <c r="D875" s="478"/>
      <c r="E875" s="478"/>
      <c r="F875" s="478"/>
      <c r="G875" s="478"/>
      <c r="H875" s="478"/>
      <c r="I875" s="478"/>
    </row>
    <row r="876" spans="1:9" ht="20.25">
      <c r="A876" s="478"/>
      <c r="B876" s="478"/>
      <c r="C876" s="478"/>
      <c r="D876" s="478"/>
      <c r="E876" s="478"/>
      <c r="F876" s="478"/>
      <c r="G876" s="478"/>
      <c r="H876" s="478"/>
      <c r="I876" s="478"/>
    </row>
    <row r="877" spans="1:9" ht="20.25">
      <c r="A877" s="478"/>
      <c r="B877" s="478"/>
      <c r="C877" s="478"/>
      <c r="D877" s="478"/>
      <c r="E877" s="478"/>
      <c r="F877" s="478"/>
      <c r="G877" s="478"/>
      <c r="H877" s="478"/>
      <c r="I877" s="478"/>
    </row>
    <row r="878" spans="1:9" ht="20.25">
      <c r="A878" s="478"/>
      <c r="B878" s="478"/>
      <c r="C878" s="478"/>
      <c r="D878" s="478"/>
      <c r="E878" s="478"/>
      <c r="F878" s="478"/>
      <c r="G878" s="478"/>
      <c r="H878" s="478"/>
      <c r="I878" s="478"/>
    </row>
    <row r="879" spans="1:9" ht="20.25">
      <c r="A879" s="478"/>
      <c r="B879" s="478"/>
      <c r="C879" s="478"/>
      <c r="D879" s="478"/>
      <c r="E879" s="478"/>
      <c r="F879" s="478"/>
      <c r="G879" s="478"/>
      <c r="H879" s="478"/>
      <c r="I879" s="478"/>
    </row>
    <row r="880" spans="1:9" ht="20.25">
      <c r="A880" s="478"/>
      <c r="B880" s="478"/>
      <c r="C880" s="478"/>
      <c r="D880" s="478"/>
      <c r="E880" s="478"/>
      <c r="F880" s="478"/>
      <c r="G880" s="478"/>
      <c r="H880" s="478"/>
      <c r="I880" s="478"/>
    </row>
    <row r="881" spans="1:9" ht="20.25">
      <c r="A881" s="478"/>
      <c r="B881" s="478"/>
      <c r="C881" s="478"/>
      <c r="D881" s="478"/>
      <c r="E881" s="478"/>
      <c r="F881" s="478"/>
      <c r="G881" s="478"/>
      <c r="H881" s="478"/>
      <c r="I881" s="478"/>
    </row>
    <row r="882" spans="1:9" ht="20.25">
      <c r="A882" s="478"/>
      <c r="B882" s="478"/>
      <c r="C882" s="478"/>
      <c r="D882" s="478"/>
      <c r="E882" s="478"/>
      <c r="F882" s="478"/>
      <c r="G882" s="478"/>
      <c r="H882" s="478"/>
      <c r="I882" s="478"/>
    </row>
    <row r="883" spans="1:9" ht="20.25">
      <c r="A883" s="478"/>
      <c r="B883" s="478"/>
      <c r="C883" s="478"/>
      <c r="D883" s="478"/>
      <c r="E883" s="478"/>
      <c r="F883" s="478"/>
      <c r="G883" s="478"/>
      <c r="H883" s="478"/>
      <c r="I883" s="478"/>
    </row>
    <row r="884" spans="1:9" ht="20.25">
      <c r="A884" s="478"/>
      <c r="B884" s="478"/>
      <c r="C884" s="478"/>
      <c r="D884" s="478"/>
      <c r="E884" s="478"/>
      <c r="F884" s="478"/>
      <c r="G884" s="478"/>
      <c r="H884" s="478"/>
      <c r="I884" s="478"/>
    </row>
    <row r="885" spans="1:9" ht="20.25">
      <c r="A885" s="478"/>
      <c r="B885" s="478"/>
      <c r="C885" s="478"/>
      <c r="D885" s="478"/>
      <c r="E885" s="478"/>
      <c r="F885" s="478"/>
      <c r="G885" s="478"/>
      <c r="H885" s="478"/>
      <c r="I885" s="478"/>
    </row>
    <row r="886" spans="1:9" ht="20.25">
      <c r="A886" s="478"/>
      <c r="B886" s="478"/>
      <c r="C886" s="478"/>
      <c r="D886" s="478"/>
      <c r="E886" s="478"/>
      <c r="F886" s="478"/>
      <c r="G886" s="478"/>
      <c r="H886" s="478"/>
      <c r="I886" s="478"/>
    </row>
    <row r="887" spans="1:9" ht="20.25">
      <c r="A887" s="478"/>
      <c r="B887" s="478"/>
      <c r="C887" s="478"/>
      <c r="D887" s="478"/>
      <c r="E887" s="478"/>
      <c r="F887" s="478"/>
      <c r="G887" s="478"/>
      <c r="H887" s="478"/>
      <c r="I887" s="478"/>
    </row>
    <row r="888" spans="1:9" ht="20.25">
      <c r="A888" s="478"/>
      <c r="B888" s="478"/>
      <c r="C888" s="478"/>
      <c r="D888" s="478"/>
      <c r="E888" s="478"/>
      <c r="F888" s="478"/>
      <c r="G888" s="478"/>
      <c r="H888" s="478"/>
      <c r="I888" s="478"/>
    </row>
    <row r="889" spans="1:9" ht="20.25">
      <c r="A889" s="478"/>
      <c r="B889" s="478"/>
      <c r="C889" s="478"/>
      <c r="D889" s="478"/>
      <c r="E889" s="478"/>
      <c r="F889" s="478"/>
      <c r="G889" s="478"/>
      <c r="H889" s="478"/>
      <c r="I889" s="478"/>
    </row>
    <row r="890" spans="1:9" ht="20.25">
      <c r="A890" s="478"/>
      <c r="B890" s="478"/>
      <c r="C890" s="478"/>
      <c r="D890" s="478"/>
      <c r="E890" s="478"/>
      <c r="F890" s="478"/>
      <c r="G890" s="478"/>
      <c r="H890" s="478"/>
      <c r="I890" s="478"/>
    </row>
    <row r="891" spans="1:9" ht="20.25">
      <c r="A891" s="478"/>
      <c r="B891" s="478"/>
      <c r="C891" s="478"/>
      <c r="D891" s="478"/>
      <c r="E891" s="478"/>
      <c r="F891" s="478"/>
      <c r="G891" s="478"/>
      <c r="H891" s="478"/>
      <c r="I891" s="478"/>
    </row>
    <row r="892" spans="1:9" ht="20.25">
      <c r="A892" s="478"/>
      <c r="B892" s="478"/>
      <c r="C892" s="478"/>
      <c r="D892" s="478"/>
      <c r="E892" s="478"/>
      <c r="F892" s="478"/>
      <c r="G892" s="478"/>
      <c r="H892" s="478"/>
      <c r="I892" s="478"/>
    </row>
    <row r="893" spans="1:9" ht="20.25">
      <c r="A893" s="478"/>
      <c r="B893" s="478"/>
      <c r="C893" s="478"/>
      <c r="D893" s="478"/>
      <c r="E893" s="478"/>
      <c r="F893" s="478"/>
      <c r="G893" s="478"/>
      <c r="H893" s="478"/>
      <c r="I893" s="478"/>
    </row>
    <row r="894" spans="1:9" ht="20.25">
      <c r="A894" s="478"/>
      <c r="B894" s="478"/>
      <c r="C894" s="478"/>
      <c r="D894" s="478"/>
      <c r="E894" s="478"/>
      <c r="F894" s="478"/>
      <c r="G894" s="478"/>
      <c r="H894" s="478"/>
      <c r="I894" s="478"/>
    </row>
    <row r="895" spans="1:9" ht="20.25">
      <c r="A895" s="478"/>
      <c r="B895" s="478"/>
      <c r="C895" s="478"/>
      <c r="D895" s="478"/>
      <c r="E895" s="478"/>
      <c r="F895" s="478"/>
      <c r="G895" s="478"/>
      <c r="H895" s="478"/>
      <c r="I895" s="478"/>
    </row>
    <row r="896" spans="1:9" ht="20.25">
      <c r="A896" s="478"/>
      <c r="B896" s="478"/>
      <c r="C896" s="478"/>
      <c r="D896" s="478"/>
      <c r="E896" s="478"/>
      <c r="F896" s="478"/>
      <c r="G896" s="478"/>
      <c r="H896" s="478"/>
      <c r="I896" s="478"/>
    </row>
    <row r="897" spans="1:9" ht="20.25">
      <c r="A897" s="478"/>
      <c r="B897" s="478"/>
      <c r="C897" s="478"/>
      <c r="D897" s="478"/>
      <c r="E897" s="478"/>
      <c r="F897" s="478"/>
      <c r="G897" s="478"/>
      <c r="H897" s="478"/>
      <c r="I897" s="478"/>
    </row>
    <row r="898" spans="1:9" ht="20.25">
      <c r="A898" s="478"/>
      <c r="B898" s="478"/>
      <c r="C898" s="478"/>
      <c r="D898" s="478"/>
      <c r="E898" s="478"/>
      <c r="F898" s="478"/>
      <c r="G898" s="478"/>
      <c r="H898" s="478"/>
      <c r="I898" s="478"/>
    </row>
    <row r="899" spans="1:9" ht="20.25">
      <c r="A899" s="478"/>
      <c r="B899" s="478"/>
      <c r="C899" s="478"/>
      <c r="D899" s="478"/>
      <c r="E899" s="478"/>
      <c r="F899" s="478"/>
      <c r="G899" s="478"/>
      <c r="H899" s="478"/>
      <c r="I899" s="478"/>
    </row>
    <row r="900" spans="1:9" ht="20.25">
      <c r="A900" s="478"/>
      <c r="B900" s="478"/>
      <c r="C900" s="478"/>
      <c r="D900" s="478"/>
      <c r="E900" s="478"/>
      <c r="F900" s="478"/>
      <c r="G900" s="478"/>
      <c r="H900" s="478"/>
      <c r="I900" s="478"/>
    </row>
    <row r="901" spans="1:9" ht="20.25">
      <c r="A901" s="478"/>
      <c r="B901" s="478"/>
      <c r="C901" s="478"/>
      <c r="D901" s="478"/>
      <c r="E901" s="478"/>
      <c r="F901" s="478"/>
      <c r="G901" s="478"/>
      <c r="H901" s="478"/>
      <c r="I901" s="478"/>
    </row>
    <row r="902" spans="1:9" ht="20.25">
      <c r="A902" s="478"/>
      <c r="B902" s="478"/>
      <c r="C902" s="478"/>
      <c r="D902" s="478"/>
      <c r="E902" s="478"/>
      <c r="F902" s="478"/>
      <c r="G902" s="478"/>
      <c r="H902" s="478"/>
      <c r="I902" s="478"/>
    </row>
    <row r="903" spans="1:9" ht="20.25">
      <c r="A903" s="478"/>
      <c r="B903" s="478"/>
      <c r="C903" s="478"/>
      <c r="D903" s="478"/>
      <c r="E903" s="478"/>
      <c r="F903" s="478"/>
      <c r="G903" s="478"/>
      <c r="H903" s="478"/>
      <c r="I903" s="478"/>
    </row>
    <row r="904" spans="1:9" ht="20.25">
      <c r="A904" s="478"/>
      <c r="B904" s="478"/>
      <c r="C904" s="478"/>
      <c r="D904" s="478"/>
      <c r="E904" s="478"/>
      <c r="F904" s="478"/>
      <c r="G904" s="478"/>
      <c r="H904" s="478"/>
      <c r="I904" s="478"/>
    </row>
    <row r="905" spans="1:9" ht="20.25">
      <c r="A905" s="478"/>
      <c r="B905" s="478"/>
      <c r="C905" s="478"/>
      <c r="D905" s="478"/>
      <c r="E905" s="478"/>
      <c r="F905" s="478"/>
      <c r="G905" s="478"/>
      <c r="H905" s="478"/>
      <c r="I905" s="478"/>
    </row>
    <row r="906" spans="1:9" ht="20.25">
      <c r="A906" s="478"/>
      <c r="B906" s="478"/>
      <c r="C906" s="478"/>
      <c r="D906" s="478"/>
      <c r="E906" s="478"/>
      <c r="F906" s="478"/>
      <c r="G906" s="478"/>
      <c r="H906" s="478"/>
      <c r="I906" s="478"/>
    </row>
    <row r="907" spans="1:9" ht="20.25">
      <c r="A907" s="478"/>
      <c r="B907" s="478"/>
      <c r="C907" s="478"/>
      <c r="D907" s="478"/>
      <c r="E907" s="478"/>
      <c r="F907" s="478"/>
      <c r="G907" s="478"/>
      <c r="H907" s="478"/>
      <c r="I907" s="478"/>
    </row>
    <row r="908" spans="1:9" ht="20.25">
      <c r="A908" s="478"/>
      <c r="B908" s="478"/>
      <c r="C908" s="478"/>
      <c r="D908" s="478"/>
      <c r="E908" s="478"/>
      <c r="F908" s="478"/>
      <c r="G908" s="478"/>
      <c r="H908" s="478"/>
      <c r="I908" s="478"/>
    </row>
    <row r="909" spans="1:9" ht="20.25">
      <c r="A909" s="478"/>
      <c r="B909" s="478"/>
      <c r="C909" s="478"/>
      <c r="D909" s="478"/>
      <c r="E909" s="478"/>
      <c r="F909" s="478"/>
      <c r="G909" s="478"/>
      <c r="H909" s="478"/>
      <c r="I909" s="478"/>
    </row>
    <row r="910" spans="1:9" ht="20.25">
      <c r="A910" s="478"/>
      <c r="B910" s="478"/>
      <c r="C910" s="478"/>
      <c r="D910" s="478"/>
      <c r="E910" s="478"/>
      <c r="F910" s="478"/>
      <c r="G910" s="478"/>
      <c r="H910" s="478"/>
      <c r="I910" s="478"/>
    </row>
    <row r="911" spans="1:9" ht="20.25">
      <c r="A911" s="478"/>
      <c r="B911" s="478"/>
      <c r="C911" s="478"/>
      <c r="D911" s="478"/>
      <c r="E911" s="478"/>
      <c r="F911" s="478"/>
      <c r="G911" s="478"/>
      <c r="H911" s="478"/>
      <c r="I911" s="478"/>
    </row>
    <row r="912" spans="1:9" ht="20.25">
      <c r="A912" s="478"/>
      <c r="B912" s="478"/>
      <c r="C912" s="478"/>
      <c r="D912" s="478"/>
      <c r="E912" s="478"/>
      <c r="F912" s="478"/>
      <c r="G912" s="478"/>
      <c r="H912" s="478"/>
      <c r="I912" s="478"/>
    </row>
    <row r="913" spans="1:9" ht="20.25">
      <c r="A913" s="478"/>
      <c r="B913" s="478"/>
      <c r="C913" s="478"/>
      <c r="D913" s="478"/>
      <c r="E913" s="478"/>
      <c r="F913" s="478"/>
      <c r="G913" s="478"/>
      <c r="H913" s="478"/>
      <c r="I913" s="478"/>
    </row>
    <row r="914" spans="1:9" ht="20.25">
      <c r="A914" s="478"/>
      <c r="B914" s="478"/>
      <c r="C914" s="478"/>
      <c r="D914" s="478"/>
      <c r="E914" s="478"/>
      <c r="F914" s="478"/>
      <c r="G914" s="478"/>
      <c r="H914" s="478"/>
      <c r="I914" s="478"/>
    </row>
    <row r="915" spans="1:9" ht="20.25">
      <c r="A915" s="478"/>
      <c r="B915" s="478"/>
      <c r="C915" s="478"/>
      <c r="D915" s="478"/>
      <c r="E915" s="478"/>
      <c r="F915" s="478"/>
      <c r="G915" s="478"/>
      <c r="H915" s="478"/>
      <c r="I915" s="478"/>
    </row>
    <row r="916" spans="1:9" ht="20.25">
      <c r="A916" s="478"/>
      <c r="B916" s="478"/>
      <c r="C916" s="478"/>
      <c r="D916" s="478"/>
      <c r="E916" s="478"/>
      <c r="F916" s="478"/>
      <c r="G916" s="478"/>
      <c r="H916" s="478"/>
      <c r="I916" s="478"/>
    </row>
    <row r="917" spans="1:9" ht="20.25">
      <c r="A917" s="478"/>
      <c r="B917" s="478"/>
      <c r="C917" s="478"/>
      <c r="D917" s="478"/>
      <c r="E917" s="478"/>
      <c r="F917" s="478"/>
      <c r="G917" s="478"/>
      <c r="H917" s="478"/>
      <c r="I917" s="478"/>
    </row>
    <row r="918" spans="1:9" ht="20.25">
      <c r="A918" s="478"/>
      <c r="B918" s="478"/>
      <c r="C918" s="478"/>
      <c r="D918" s="478"/>
      <c r="E918" s="478"/>
      <c r="F918" s="478"/>
      <c r="G918" s="478"/>
      <c r="H918" s="478"/>
      <c r="I918" s="478"/>
    </row>
    <row r="919" spans="1:9" ht="20.25">
      <c r="A919" s="478"/>
      <c r="B919" s="478"/>
      <c r="C919" s="478"/>
      <c r="D919" s="478"/>
      <c r="E919" s="478"/>
      <c r="F919" s="478"/>
      <c r="G919" s="478"/>
      <c r="H919" s="478"/>
      <c r="I919" s="478"/>
    </row>
    <row r="920" spans="1:9" ht="20.25">
      <c r="A920" s="478"/>
      <c r="B920" s="478"/>
      <c r="C920" s="478"/>
      <c r="D920" s="478"/>
      <c r="E920" s="478"/>
      <c r="F920" s="478"/>
      <c r="G920" s="478"/>
      <c r="H920" s="478"/>
      <c r="I920" s="478"/>
    </row>
    <row r="921" spans="1:9" ht="20.25">
      <c r="A921" s="478"/>
      <c r="B921" s="478"/>
      <c r="C921" s="478"/>
      <c r="D921" s="478"/>
      <c r="E921" s="478"/>
      <c r="F921" s="478"/>
      <c r="G921" s="478"/>
      <c r="H921" s="478"/>
      <c r="I921" s="478"/>
    </row>
    <row r="922" spans="1:9" ht="20.25">
      <c r="A922" s="478"/>
      <c r="B922" s="478"/>
      <c r="C922" s="478"/>
      <c r="D922" s="478"/>
      <c r="E922" s="478"/>
      <c r="F922" s="478"/>
      <c r="G922" s="478"/>
      <c r="H922" s="478"/>
      <c r="I922" s="478"/>
    </row>
    <row r="923" spans="1:9" ht="20.25">
      <c r="A923" s="478"/>
      <c r="B923" s="478"/>
      <c r="C923" s="478"/>
      <c r="D923" s="478"/>
      <c r="E923" s="478"/>
      <c r="F923" s="478"/>
      <c r="G923" s="478"/>
      <c r="H923" s="478"/>
      <c r="I923" s="478"/>
    </row>
    <row r="924" spans="1:9" ht="20.25">
      <c r="A924" s="478"/>
      <c r="B924" s="478"/>
      <c r="C924" s="478"/>
      <c r="D924" s="478"/>
      <c r="E924" s="478"/>
      <c r="F924" s="478"/>
      <c r="G924" s="478"/>
      <c r="H924" s="478"/>
      <c r="I924" s="478"/>
    </row>
    <row r="925" spans="1:9" ht="20.25">
      <c r="A925" s="478"/>
      <c r="B925" s="478"/>
      <c r="C925" s="478"/>
      <c r="D925" s="478"/>
      <c r="E925" s="478"/>
      <c r="F925" s="478"/>
      <c r="G925" s="478"/>
      <c r="H925" s="478"/>
      <c r="I925" s="478"/>
    </row>
    <row r="926" spans="1:9" ht="20.25">
      <c r="A926" s="478"/>
      <c r="B926" s="478"/>
      <c r="C926" s="478"/>
      <c r="D926" s="478"/>
      <c r="E926" s="478"/>
      <c r="F926" s="478"/>
      <c r="G926" s="478"/>
      <c r="H926" s="478"/>
      <c r="I926" s="478"/>
    </row>
    <row r="927" spans="1:9" ht="20.25">
      <c r="A927" s="478"/>
      <c r="B927" s="478"/>
      <c r="C927" s="478"/>
      <c r="D927" s="478"/>
      <c r="E927" s="478"/>
      <c r="F927" s="478"/>
      <c r="G927" s="478"/>
      <c r="H927" s="478"/>
      <c r="I927" s="478"/>
    </row>
    <row r="928" spans="1:9" ht="20.25">
      <c r="A928" s="478"/>
      <c r="B928" s="478"/>
      <c r="C928" s="478"/>
      <c r="D928" s="478"/>
      <c r="E928" s="478"/>
      <c r="F928" s="478"/>
      <c r="G928" s="478"/>
      <c r="H928" s="478"/>
      <c r="I928" s="478"/>
    </row>
    <row r="929" spans="1:9" ht="20.25">
      <c r="A929" s="478"/>
      <c r="B929" s="478"/>
      <c r="C929" s="478"/>
      <c r="D929" s="478"/>
      <c r="E929" s="478"/>
      <c r="F929" s="478"/>
      <c r="G929" s="478"/>
      <c r="H929" s="478"/>
      <c r="I929" s="478"/>
    </row>
    <row r="930" spans="1:9" ht="20.25">
      <c r="A930" s="478"/>
      <c r="B930" s="478"/>
      <c r="C930" s="478"/>
      <c r="D930" s="478"/>
      <c r="E930" s="478"/>
      <c r="F930" s="478"/>
      <c r="G930" s="478"/>
      <c r="H930" s="478"/>
      <c r="I930" s="478"/>
    </row>
    <row r="931" spans="1:9" ht="20.25">
      <c r="A931" s="478"/>
      <c r="B931" s="478"/>
      <c r="C931" s="478"/>
      <c r="D931" s="478"/>
      <c r="E931" s="478"/>
      <c r="F931" s="478"/>
      <c r="G931" s="478"/>
      <c r="H931" s="478"/>
      <c r="I931" s="478"/>
    </row>
    <row r="932" spans="1:9" ht="20.25">
      <c r="A932" s="478"/>
      <c r="B932" s="478"/>
      <c r="C932" s="478"/>
      <c r="D932" s="478"/>
      <c r="E932" s="478"/>
      <c r="F932" s="478"/>
      <c r="G932" s="478"/>
      <c r="H932" s="478"/>
      <c r="I932" s="478"/>
    </row>
    <row r="933" spans="1:9" ht="20.25">
      <c r="A933" s="478"/>
      <c r="B933" s="478"/>
      <c r="C933" s="478"/>
      <c r="D933" s="478"/>
      <c r="E933" s="478"/>
      <c r="F933" s="478"/>
      <c r="G933" s="478"/>
      <c r="H933" s="478"/>
      <c r="I933" s="478"/>
    </row>
    <row r="934" spans="1:9" ht="20.25">
      <c r="A934" s="478"/>
      <c r="B934" s="478"/>
      <c r="C934" s="478"/>
      <c r="D934" s="478"/>
      <c r="E934" s="478"/>
      <c r="F934" s="478"/>
      <c r="G934" s="478"/>
      <c r="H934" s="478"/>
      <c r="I934" s="478"/>
    </row>
    <row r="935" spans="1:9" ht="20.25">
      <c r="A935" s="478"/>
      <c r="B935" s="478"/>
      <c r="C935" s="478"/>
      <c r="D935" s="478"/>
      <c r="E935" s="478"/>
      <c r="F935" s="478"/>
      <c r="G935" s="478"/>
      <c r="H935" s="478"/>
      <c r="I935" s="478"/>
    </row>
    <row r="936" spans="1:9" ht="20.25">
      <c r="A936" s="478"/>
      <c r="B936" s="478"/>
      <c r="C936" s="478"/>
      <c r="D936" s="478"/>
      <c r="E936" s="478"/>
      <c r="F936" s="478"/>
      <c r="G936" s="478"/>
      <c r="H936" s="478"/>
      <c r="I936" s="478"/>
    </row>
    <row r="937" spans="1:9" ht="20.25">
      <c r="A937" s="478"/>
      <c r="B937" s="478"/>
      <c r="C937" s="478"/>
      <c r="D937" s="478"/>
      <c r="E937" s="478"/>
      <c r="F937" s="478"/>
      <c r="G937" s="478"/>
      <c r="H937" s="478"/>
      <c r="I937" s="478"/>
    </row>
    <row r="938" spans="1:9" ht="20.25">
      <c r="A938" s="478"/>
      <c r="B938" s="478"/>
      <c r="C938" s="478"/>
      <c r="D938" s="478"/>
      <c r="E938" s="478"/>
      <c r="F938" s="478"/>
      <c r="G938" s="478"/>
      <c r="H938" s="478"/>
      <c r="I938" s="478"/>
    </row>
    <row r="939" spans="1:9" ht="20.25">
      <c r="A939" s="478"/>
      <c r="B939" s="478"/>
      <c r="C939" s="478"/>
      <c r="D939" s="478"/>
      <c r="E939" s="478"/>
      <c r="F939" s="478"/>
      <c r="G939" s="478"/>
      <c r="H939" s="478"/>
      <c r="I939" s="478"/>
    </row>
    <row r="940" spans="1:9" ht="20.25">
      <c r="A940" s="478"/>
      <c r="B940" s="478"/>
      <c r="C940" s="478"/>
      <c r="D940" s="478"/>
      <c r="E940" s="478"/>
      <c r="F940" s="478"/>
      <c r="G940" s="478"/>
      <c r="H940" s="478"/>
      <c r="I940" s="478"/>
    </row>
    <row r="941" spans="1:9" ht="20.25">
      <c r="A941" s="478"/>
      <c r="B941" s="478"/>
      <c r="C941" s="478"/>
      <c r="D941" s="478"/>
      <c r="E941" s="478"/>
      <c r="F941" s="478"/>
      <c r="G941" s="478"/>
      <c r="H941" s="478"/>
      <c r="I941" s="478"/>
    </row>
    <row r="942" spans="1:9" ht="20.25">
      <c r="A942" s="478"/>
      <c r="B942" s="478"/>
      <c r="C942" s="478"/>
      <c r="D942" s="478"/>
      <c r="E942" s="478"/>
      <c r="F942" s="478"/>
      <c r="G942" s="478"/>
      <c r="H942" s="478"/>
      <c r="I942" s="478"/>
    </row>
    <row r="943" spans="1:9" ht="20.25">
      <c r="A943" s="478"/>
      <c r="B943" s="478"/>
      <c r="C943" s="478"/>
      <c r="D943" s="478"/>
      <c r="E943" s="478"/>
      <c r="F943" s="478"/>
      <c r="G943" s="478"/>
      <c r="H943" s="478"/>
      <c r="I943" s="478"/>
    </row>
    <row r="944" spans="1:9" ht="20.25">
      <c r="A944" s="478"/>
      <c r="B944" s="478"/>
      <c r="C944" s="478"/>
      <c r="D944" s="478"/>
      <c r="E944" s="478"/>
      <c r="F944" s="478"/>
      <c r="G944" s="478"/>
      <c r="H944" s="478"/>
      <c r="I944" s="478"/>
    </row>
    <row r="945" spans="1:9" ht="20.25">
      <c r="A945" s="478"/>
      <c r="B945" s="478"/>
      <c r="C945" s="478"/>
      <c r="D945" s="478"/>
      <c r="E945" s="478"/>
      <c r="F945" s="478"/>
      <c r="G945" s="478"/>
      <c r="H945" s="478"/>
      <c r="I945" s="478"/>
    </row>
    <row r="946" spans="1:9" ht="20.25">
      <c r="A946" s="478"/>
      <c r="B946" s="478"/>
      <c r="C946" s="478"/>
      <c r="D946" s="478"/>
      <c r="E946" s="478"/>
      <c r="F946" s="478"/>
      <c r="G946" s="478"/>
      <c r="H946" s="478"/>
      <c r="I946" s="478"/>
    </row>
    <row r="947" spans="1:9" ht="20.25">
      <c r="A947" s="478"/>
      <c r="B947" s="478"/>
      <c r="C947" s="478"/>
      <c r="D947" s="478"/>
      <c r="E947" s="478"/>
      <c r="F947" s="478"/>
      <c r="G947" s="478"/>
      <c r="H947" s="478"/>
      <c r="I947" s="478"/>
    </row>
    <row r="948" spans="1:9" ht="20.25">
      <c r="A948" s="478"/>
      <c r="B948" s="478"/>
      <c r="C948" s="478"/>
      <c r="D948" s="478"/>
      <c r="E948" s="478"/>
      <c r="F948" s="478"/>
      <c r="G948" s="478"/>
      <c r="H948" s="478"/>
      <c r="I948" s="478"/>
    </row>
    <row r="949" spans="1:9" ht="20.25">
      <c r="A949" s="478"/>
      <c r="B949" s="478"/>
      <c r="C949" s="478"/>
      <c r="D949" s="478"/>
      <c r="E949" s="478"/>
      <c r="F949" s="478"/>
      <c r="G949" s="478"/>
      <c r="H949" s="478"/>
      <c r="I949" s="478"/>
    </row>
    <row r="950" spans="1:9" ht="20.25">
      <c r="A950" s="478"/>
      <c r="B950" s="478"/>
      <c r="C950" s="478"/>
      <c r="D950" s="478"/>
      <c r="E950" s="478"/>
      <c r="F950" s="478"/>
      <c r="G950" s="478"/>
      <c r="H950" s="478"/>
      <c r="I950" s="478"/>
    </row>
    <row r="951" spans="1:9" ht="20.25">
      <c r="A951" s="478"/>
      <c r="B951" s="478"/>
      <c r="C951" s="478"/>
      <c r="D951" s="478"/>
      <c r="E951" s="478"/>
      <c r="F951" s="478"/>
      <c r="G951" s="478"/>
      <c r="H951" s="478"/>
      <c r="I951" s="478"/>
    </row>
  </sheetData>
  <mergeCells count="41">
    <mergeCell ref="A34:I35"/>
    <mergeCell ref="A36:I36"/>
    <mergeCell ref="B38:C38"/>
    <mergeCell ref="F38:G38"/>
    <mergeCell ref="B39:C39"/>
    <mergeCell ref="F33:H33"/>
    <mergeCell ref="F22:H22"/>
    <mergeCell ref="F23:H23"/>
    <mergeCell ref="F24:H24"/>
    <mergeCell ref="F25:H25"/>
    <mergeCell ref="F26:H26"/>
    <mergeCell ref="F27:H27"/>
    <mergeCell ref="F28:H28"/>
    <mergeCell ref="F29:H29"/>
    <mergeCell ref="F30:H30"/>
    <mergeCell ref="F31:H31"/>
    <mergeCell ref="F32:H32"/>
    <mergeCell ref="F21:H21"/>
    <mergeCell ref="F10:H10"/>
    <mergeCell ref="F11:H11"/>
    <mergeCell ref="F12:H12"/>
    <mergeCell ref="F13:H13"/>
    <mergeCell ref="F14:H14"/>
    <mergeCell ref="F15:H15"/>
    <mergeCell ref="F16:H16"/>
    <mergeCell ref="F17:H17"/>
    <mergeCell ref="F18:H18"/>
    <mergeCell ref="F19:H19"/>
    <mergeCell ref="F20:H20"/>
    <mergeCell ref="F9:H9"/>
    <mergeCell ref="H2:I2"/>
    <mergeCell ref="A3:I3"/>
    <mergeCell ref="B4:D4"/>
    <mergeCell ref="F4:G4"/>
    <mergeCell ref="B5:D5"/>
    <mergeCell ref="F5:G5"/>
    <mergeCell ref="B6:D6"/>
    <mergeCell ref="F6:G6"/>
    <mergeCell ref="B7:D7"/>
    <mergeCell ref="F7:G7"/>
    <mergeCell ref="B8:G8"/>
  </mergeCells>
  <phoneticPr fontId="59"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7.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182" customWidth="1"/>
    <col min="2" max="2" width="8.625" style="182" customWidth="1"/>
    <col min="3" max="3" width="3.5" style="182" customWidth="1"/>
    <col min="4" max="4" width="8.25" style="182" customWidth="1"/>
    <col min="5" max="5" width="11.625" style="182" customWidth="1"/>
    <col min="6" max="6" width="6" style="182" customWidth="1"/>
    <col min="7" max="7" width="5.625" style="182" customWidth="1"/>
    <col min="8" max="8" width="10.125" style="182" customWidth="1"/>
    <col min="9" max="9" width="13.375" style="182" customWidth="1"/>
    <col min="10" max="16384" width="9" style="182"/>
  </cols>
  <sheetData>
    <row r="1" spans="1:11">
      <c r="A1" s="181"/>
      <c r="B1" s="181"/>
      <c r="C1" s="181"/>
      <c r="D1" s="181"/>
      <c r="E1" s="181"/>
      <c r="F1" s="181"/>
    </row>
    <row r="2" spans="1:11">
      <c r="A2" s="186"/>
      <c r="B2" s="186"/>
      <c r="C2" s="186"/>
      <c r="D2" s="186"/>
      <c r="E2" s="181"/>
      <c r="F2" s="181"/>
      <c r="G2" s="1048" t="s">
        <v>1120</v>
      </c>
      <c r="H2" s="1048"/>
      <c r="I2" s="1048"/>
    </row>
    <row r="3" spans="1:11" ht="21">
      <c r="A3" s="1049" t="s">
        <v>1098</v>
      </c>
      <c r="B3" s="1050"/>
      <c r="C3" s="1050"/>
      <c r="D3" s="1050"/>
      <c r="E3" s="1050"/>
      <c r="F3" s="1050"/>
      <c r="G3" s="1050"/>
      <c r="H3" s="1050"/>
      <c r="I3" s="1050"/>
      <c r="K3" s="480" t="s">
        <v>1068</v>
      </c>
    </row>
    <row r="4" spans="1:11" ht="18" customHeight="1">
      <c r="A4" s="480" t="s">
        <v>1069</v>
      </c>
      <c r="B4" s="894" t="s">
        <v>1099</v>
      </c>
      <c r="C4" s="894"/>
      <c r="D4" s="894"/>
      <c r="E4" s="428" t="s">
        <v>1071</v>
      </c>
      <c r="F4" s="894" t="e">
        <f>#REF!</f>
        <v>#REF!</v>
      </c>
      <c r="G4" s="894"/>
      <c r="H4" s="481" t="s">
        <v>1072</v>
      </c>
      <c r="I4" s="429" t="str">
        <f>SUM(F11:F36)&amp;"块"</f>
        <v>6块</v>
      </c>
    </row>
    <row r="5" spans="1:11" ht="18" customHeight="1">
      <c r="A5" s="182" t="s">
        <v>1073</v>
      </c>
      <c r="B5" s="1051" t="e">
        <f>#REF!</f>
        <v>#REF!</v>
      </c>
      <c r="C5" s="1051"/>
      <c r="D5" s="1051"/>
      <c r="E5" s="428" t="s">
        <v>1074</v>
      </c>
      <c r="F5" s="1052"/>
      <c r="G5" s="1052"/>
      <c r="H5" s="481" t="s">
        <v>1075</v>
      </c>
      <c r="I5" s="482"/>
    </row>
    <row r="6" spans="1:11" ht="18" customHeight="1">
      <c r="A6" s="483" t="s">
        <v>1076</v>
      </c>
      <c r="B6" s="899" t="s">
        <v>1100</v>
      </c>
      <c r="C6" s="899"/>
      <c r="D6" s="899"/>
      <c r="E6" s="431" t="s">
        <v>1077</v>
      </c>
      <c r="F6" s="899">
        <v>61732701</v>
      </c>
      <c r="G6" s="899"/>
      <c r="H6" s="481" t="s">
        <v>1078</v>
      </c>
      <c r="I6" s="430">
        <v>61732702</v>
      </c>
    </row>
    <row r="7" spans="1:11" ht="18" customHeight="1">
      <c r="A7" s="484" t="s">
        <v>1079</v>
      </c>
      <c r="B7" s="1055"/>
      <c r="C7" s="1055"/>
      <c r="D7" s="1055"/>
      <c r="E7" s="431" t="s">
        <v>1080</v>
      </c>
      <c r="F7" s="899">
        <v>80529723</v>
      </c>
      <c r="G7" s="899"/>
      <c r="H7" s="481" t="s">
        <v>1081</v>
      </c>
      <c r="I7" s="432">
        <v>80529723</v>
      </c>
    </row>
    <row r="8" spans="1:11" ht="18" customHeight="1">
      <c r="A8" s="483" t="s">
        <v>1082</v>
      </c>
      <c r="B8" s="900" t="s">
        <v>1101</v>
      </c>
      <c r="C8" s="899"/>
      <c r="D8" s="899"/>
      <c r="E8" s="899"/>
      <c r="F8" s="899"/>
      <c r="G8" s="899"/>
      <c r="H8" s="484" t="s">
        <v>1084</v>
      </c>
      <c r="I8" s="430" t="s">
        <v>1085</v>
      </c>
    </row>
    <row r="9" spans="1:11" ht="15" customHeight="1">
      <c r="A9" s="483"/>
      <c r="B9" s="432"/>
      <c r="C9" s="432"/>
      <c r="D9" s="432"/>
      <c r="E9" s="432"/>
      <c r="F9" s="432"/>
      <c r="G9" s="432"/>
      <c r="H9" s="485"/>
      <c r="I9" s="485"/>
    </row>
    <row r="10" spans="1:11" ht="18" customHeight="1">
      <c r="A10" s="486" t="s">
        <v>642</v>
      </c>
      <c r="B10" s="486" t="s">
        <v>461</v>
      </c>
      <c r="C10" s="486" t="s">
        <v>1086</v>
      </c>
      <c r="D10" s="486" t="s">
        <v>643</v>
      </c>
      <c r="E10" s="486" t="s">
        <v>1102</v>
      </c>
      <c r="F10" s="486" t="s">
        <v>644</v>
      </c>
      <c r="G10" s="1056" t="s">
        <v>1087</v>
      </c>
      <c r="H10" s="1056"/>
      <c r="I10" s="486" t="s">
        <v>809</v>
      </c>
    </row>
    <row r="11" spans="1:11" ht="18" customHeight="1">
      <c r="A11" s="487"/>
      <c r="B11" s="488"/>
      <c r="C11" s="486" t="s">
        <v>1086</v>
      </c>
      <c r="D11" s="488"/>
      <c r="E11" s="486"/>
      <c r="F11" s="486"/>
      <c r="G11" s="1053"/>
      <c r="H11" s="1054"/>
      <c r="I11" s="486"/>
      <c r="J11" s="182">
        <f t="shared" ref="J11:J36" si="0">B11*D11*F11/1000000</f>
        <v>0</v>
      </c>
    </row>
    <row r="12" spans="1:11" ht="18" customHeight="1">
      <c r="A12" s="487"/>
      <c r="B12" s="488"/>
      <c r="C12" s="486" t="s">
        <v>1086</v>
      </c>
      <c r="D12" s="488"/>
      <c r="E12" s="486"/>
      <c r="F12" s="486"/>
      <c r="G12" s="1053"/>
      <c r="H12" s="1054"/>
      <c r="I12" s="486"/>
      <c r="J12" s="182">
        <f t="shared" si="0"/>
        <v>0</v>
      </c>
    </row>
    <row r="13" spans="1:11" ht="18" customHeight="1">
      <c r="A13" s="487"/>
      <c r="B13" s="488"/>
      <c r="C13" s="486" t="s">
        <v>1086</v>
      </c>
      <c r="D13" s="488"/>
      <c r="E13" s="486"/>
      <c r="F13" s="489"/>
      <c r="G13" s="1053"/>
      <c r="H13" s="1054"/>
      <c r="I13" s="486"/>
      <c r="J13" s="182">
        <f t="shared" si="0"/>
        <v>0</v>
      </c>
    </row>
    <row r="14" spans="1:11" ht="18" customHeight="1">
      <c r="A14" s="487"/>
      <c r="B14" s="488"/>
      <c r="C14" s="486" t="s">
        <v>1086</v>
      </c>
      <c r="D14" s="488"/>
      <c r="E14" s="486"/>
      <c r="F14" s="486"/>
      <c r="G14" s="1053"/>
      <c r="H14" s="1054"/>
      <c r="I14" s="486"/>
      <c r="J14" s="182">
        <f t="shared" si="0"/>
        <v>0</v>
      </c>
    </row>
    <row r="15" spans="1:11" ht="18" customHeight="1">
      <c r="A15" s="487"/>
      <c r="B15" s="488"/>
      <c r="C15" s="486" t="s">
        <v>1086</v>
      </c>
      <c r="D15" s="488"/>
      <c r="E15" s="486"/>
      <c r="F15" s="486"/>
      <c r="G15" s="1053"/>
      <c r="H15" s="1054"/>
      <c r="I15" s="486"/>
      <c r="J15" s="182">
        <f t="shared" si="0"/>
        <v>0</v>
      </c>
    </row>
    <row r="16" spans="1:11" ht="18" customHeight="1">
      <c r="A16" s="487"/>
      <c r="B16" s="488"/>
      <c r="C16" s="486" t="s">
        <v>1086</v>
      </c>
      <c r="D16" s="488"/>
      <c r="E16" s="486"/>
      <c r="F16" s="486"/>
      <c r="G16" s="1053"/>
      <c r="H16" s="1054"/>
      <c r="I16" s="490"/>
      <c r="J16" s="182">
        <f t="shared" si="0"/>
        <v>0</v>
      </c>
    </row>
    <row r="17" spans="1:10" ht="18" customHeight="1">
      <c r="A17" s="487"/>
      <c r="B17" s="488"/>
      <c r="C17" s="486" t="s">
        <v>1086</v>
      </c>
      <c r="D17" s="488"/>
      <c r="E17" s="486"/>
      <c r="F17" s="486"/>
      <c r="G17" s="1053"/>
      <c r="H17" s="1054"/>
      <c r="I17" s="490"/>
      <c r="J17" s="182">
        <f t="shared" si="0"/>
        <v>0</v>
      </c>
    </row>
    <row r="18" spans="1:10" ht="18" customHeight="1">
      <c r="A18" s="487"/>
      <c r="B18" s="488"/>
      <c r="C18" s="486" t="s">
        <v>1086</v>
      </c>
      <c r="D18" s="488"/>
      <c r="E18" s="486"/>
      <c r="F18" s="486"/>
      <c r="G18" s="1053"/>
      <c r="H18" s="1054"/>
      <c r="I18" s="490"/>
      <c r="J18" s="182">
        <f t="shared" si="0"/>
        <v>0</v>
      </c>
    </row>
    <row r="19" spans="1:10" ht="18" customHeight="1">
      <c r="A19" s="491"/>
      <c r="B19" s="488"/>
      <c r="C19" s="486" t="s">
        <v>1103</v>
      </c>
      <c r="D19" s="488"/>
      <c r="E19" s="486"/>
      <c r="F19" s="486"/>
      <c r="G19" s="1053"/>
      <c r="H19" s="1054"/>
      <c r="I19" s="490"/>
      <c r="J19" s="182">
        <f t="shared" si="0"/>
        <v>0</v>
      </c>
    </row>
    <row r="20" spans="1:10" ht="18" customHeight="1">
      <c r="A20" s="487"/>
      <c r="B20" s="488"/>
      <c r="C20" s="486" t="s">
        <v>1103</v>
      </c>
      <c r="D20" s="488"/>
      <c r="E20" s="486"/>
      <c r="F20" s="486"/>
      <c r="G20" s="1053"/>
      <c r="H20" s="1054"/>
      <c r="I20" s="490"/>
      <c r="J20" s="182">
        <f t="shared" si="0"/>
        <v>0</v>
      </c>
    </row>
    <row r="21" spans="1:10" ht="18" customHeight="1">
      <c r="A21" s="487"/>
      <c r="B21" s="488"/>
      <c r="C21" s="486" t="s">
        <v>1103</v>
      </c>
      <c r="D21" s="488"/>
      <c r="E21" s="486"/>
      <c r="F21" s="486"/>
      <c r="G21" s="1053"/>
      <c r="H21" s="1054"/>
      <c r="I21" s="490"/>
      <c r="J21" s="182">
        <f t="shared" si="0"/>
        <v>0</v>
      </c>
    </row>
    <row r="22" spans="1:10" ht="18" customHeight="1">
      <c r="A22" s="487"/>
      <c r="B22" s="488"/>
      <c r="C22" s="486" t="s">
        <v>1103</v>
      </c>
      <c r="D22" s="488"/>
      <c r="E22" s="486"/>
      <c r="F22" s="486"/>
      <c r="G22" s="1053"/>
      <c r="H22" s="1054"/>
      <c r="I22" s="490"/>
      <c r="J22" s="182">
        <f t="shared" si="0"/>
        <v>0</v>
      </c>
    </row>
    <row r="23" spans="1:10" ht="18" customHeight="1">
      <c r="A23" s="487"/>
      <c r="B23" s="488"/>
      <c r="C23" s="486" t="s">
        <v>1103</v>
      </c>
      <c r="D23" s="488"/>
      <c r="E23" s="486"/>
      <c r="F23" s="486"/>
      <c r="G23" s="1053"/>
      <c r="H23" s="1054"/>
      <c r="I23" s="490"/>
      <c r="J23" s="182">
        <f t="shared" si="0"/>
        <v>0</v>
      </c>
    </row>
    <row r="24" spans="1:10" ht="18" customHeight="1">
      <c r="A24" s="487"/>
      <c r="B24" s="486"/>
      <c r="C24" s="486" t="s">
        <v>1103</v>
      </c>
      <c r="D24" s="488"/>
      <c r="E24" s="486"/>
      <c r="F24" s="486"/>
      <c r="G24" s="1053"/>
      <c r="H24" s="1054"/>
      <c r="I24" s="251"/>
      <c r="J24" s="182">
        <f t="shared" si="0"/>
        <v>0</v>
      </c>
    </row>
    <row r="25" spans="1:10" ht="18" customHeight="1">
      <c r="A25" s="487"/>
      <c r="B25" s="486"/>
      <c r="C25" s="486" t="s">
        <v>1103</v>
      </c>
      <c r="D25" s="488"/>
      <c r="E25" s="490"/>
      <c r="F25" s="486"/>
      <c r="G25" s="1053"/>
      <c r="H25" s="1054"/>
      <c r="I25" s="251"/>
      <c r="J25" s="182">
        <f t="shared" si="0"/>
        <v>0</v>
      </c>
    </row>
    <row r="26" spans="1:10" ht="18" customHeight="1">
      <c r="A26" s="492"/>
      <c r="B26" s="486"/>
      <c r="C26" s="486" t="s">
        <v>1103</v>
      </c>
      <c r="D26" s="486"/>
      <c r="E26" s="493"/>
      <c r="F26" s="486"/>
      <c r="G26" s="1053"/>
      <c r="H26" s="1054"/>
      <c r="I26" s="251"/>
      <c r="J26" s="182">
        <f t="shared" si="0"/>
        <v>0</v>
      </c>
    </row>
    <row r="27" spans="1:10" ht="18" customHeight="1">
      <c r="A27" s="492"/>
      <c r="B27" s="486"/>
      <c r="C27" s="486" t="s">
        <v>1103</v>
      </c>
      <c r="D27" s="486"/>
      <c r="E27" s="493"/>
      <c r="F27" s="486"/>
      <c r="G27" s="1053"/>
      <c r="H27" s="1054"/>
      <c r="I27" s="251"/>
      <c r="J27" s="182">
        <f t="shared" si="0"/>
        <v>0</v>
      </c>
    </row>
    <row r="28" spans="1:10" ht="18" customHeight="1">
      <c r="A28" s="492"/>
      <c r="B28" s="486"/>
      <c r="C28" s="486" t="s">
        <v>1103</v>
      </c>
      <c r="D28" s="486"/>
      <c r="E28" s="493"/>
      <c r="F28" s="486"/>
      <c r="G28" s="1053"/>
      <c r="H28" s="1054"/>
      <c r="I28" s="251"/>
      <c r="J28" s="182">
        <f t="shared" si="0"/>
        <v>0</v>
      </c>
    </row>
    <row r="29" spans="1:10" ht="18" customHeight="1">
      <c r="A29" s="492"/>
      <c r="B29" s="486"/>
      <c r="C29" s="486" t="s">
        <v>1103</v>
      </c>
      <c r="D29" s="486"/>
      <c r="E29" s="493"/>
      <c r="F29" s="486"/>
      <c r="G29" s="1053"/>
      <c r="H29" s="1054"/>
      <c r="I29" s="251"/>
      <c r="J29" s="182">
        <f t="shared" si="0"/>
        <v>0</v>
      </c>
    </row>
    <row r="30" spans="1:10" ht="18" customHeight="1">
      <c r="A30" s="494" t="s">
        <v>1104</v>
      </c>
      <c r="B30" s="495">
        <v>50</v>
      </c>
      <c r="C30" s="495" t="s">
        <v>1103</v>
      </c>
      <c r="D30" s="495">
        <v>720</v>
      </c>
      <c r="E30" s="496"/>
      <c r="F30" s="495"/>
      <c r="G30" s="1057"/>
      <c r="H30" s="1058"/>
      <c r="I30" s="251"/>
      <c r="J30" s="182">
        <f t="shared" si="0"/>
        <v>0</v>
      </c>
    </row>
    <row r="31" spans="1:10" ht="18" customHeight="1">
      <c r="A31" s="494" t="s">
        <v>1105</v>
      </c>
      <c r="B31" s="495">
        <v>50</v>
      </c>
      <c r="C31" s="495" t="s">
        <v>1103</v>
      </c>
      <c r="D31" s="495">
        <v>100</v>
      </c>
      <c r="E31" s="497"/>
      <c r="F31" s="495"/>
      <c r="G31" s="1057"/>
      <c r="H31" s="1058"/>
      <c r="I31" s="490"/>
      <c r="J31" s="182">
        <f t="shared" si="0"/>
        <v>0</v>
      </c>
    </row>
    <row r="32" spans="1:10" ht="18" customHeight="1">
      <c r="A32" s="494" t="s">
        <v>1106</v>
      </c>
      <c r="B32" s="495">
        <v>2400</v>
      </c>
      <c r="C32" s="495" t="s">
        <v>1103</v>
      </c>
      <c r="D32" s="495"/>
      <c r="E32" s="497"/>
      <c r="F32" s="495"/>
      <c r="G32" s="1059" t="s">
        <v>1107</v>
      </c>
      <c r="H32" s="1058"/>
      <c r="I32" s="490"/>
      <c r="J32" s="182">
        <f>B32*D32*F32/1000000</f>
        <v>0</v>
      </c>
    </row>
    <row r="33" spans="1:10" ht="18" customHeight="1">
      <c r="A33" s="492" t="s">
        <v>1108</v>
      </c>
      <c r="B33" s="486">
        <v>2400</v>
      </c>
      <c r="C33" s="486" t="s">
        <v>1103</v>
      </c>
      <c r="D33" s="486">
        <v>88</v>
      </c>
      <c r="E33" s="493"/>
      <c r="F33" s="486"/>
      <c r="G33" s="1060"/>
      <c r="H33" s="1061"/>
      <c r="I33" s="490"/>
      <c r="J33" s="182">
        <f>B33*D33*F33/1000000</f>
        <v>0</v>
      </c>
    </row>
    <row r="34" spans="1:10" ht="18" customHeight="1">
      <c r="A34" s="498" t="s">
        <v>1109</v>
      </c>
      <c r="B34" s="499">
        <v>2400</v>
      </c>
      <c r="C34" s="499" t="s">
        <v>1103</v>
      </c>
      <c r="D34" s="499">
        <v>71</v>
      </c>
      <c r="E34" s="500"/>
      <c r="F34" s="499">
        <v>2</v>
      </c>
      <c r="G34" s="1062" t="s">
        <v>1110</v>
      </c>
      <c r="H34" s="1055"/>
      <c r="I34" s="1063"/>
      <c r="J34" s="182">
        <f>B34*D34*F34/1000000</f>
        <v>0.34079999999999999</v>
      </c>
    </row>
    <row r="35" spans="1:10" ht="22.5" customHeight="1">
      <c r="A35" s="501" t="s">
        <v>1111</v>
      </c>
      <c r="B35" s="499">
        <v>2400</v>
      </c>
      <c r="C35" s="499" t="s">
        <v>1103</v>
      </c>
      <c r="D35" s="499">
        <v>100</v>
      </c>
      <c r="E35" s="500"/>
      <c r="F35" s="499">
        <v>2</v>
      </c>
      <c r="G35" s="1062" t="s">
        <v>1112</v>
      </c>
      <c r="H35" s="1055"/>
      <c r="I35" s="1063"/>
      <c r="J35" s="182">
        <f t="shared" si="0"/>
        <v>0.48</v>
      </c>
    </row>
    <row r="36" spans="1:10" ht="18" customHeight="1">
      <c r="A36" s="498" t="s">
        <v>1113</v>
      </c>
      <c r="B36" s="499">
        <v>2400</v>
      </c>
      <c r="C36" s="499" t="s">
        <v>1103</v>
      </c>
      <c r="D36" s="499">
        <v>83</v>
      </c>
      <c r="E36" s="502"/>
      <c r="F36" s="499">
        <v>2</v>
      </c>
      <c r="G36" s="1062" t="s">
        <v>1114</v>
      </c>
      <c r="H36" s="1055"/>
      <c r="I36" s="1063"/>
      <c r="J36" s="182">
        <f t="shared" si="0"/>
        <v>0.39839999999999998</v>
      </c>
    </row>
    <row r="37" spans="1:10" ht="20.100000000000001" customHeight="1">
      <c r="A37" s="864" t="s">
        <v>1115</v>
      </c>
      <c r="B37" s="864"/>
      <c r="C37" s="864"/>
      <c r="D37" s="864"/>
      <c r="E37" s="864"/>
      <c r="F37" s="864"/>
      <c r="G37" s="864"/>
      <c r="H37" s="864"/>
      <c r="I37" s="864"/>
    </row>
    <row r="38" spans="1:10" ht="20.100000000000001" hidden="1" customHeight="1">
      <c r="A38" s="222"/>
      <c r="B38" s="223"/>
      <c r="C38" s="220"/>
      <c r="D38" s="220"/>
      <c r="E38" s="220"/>
      <c r="F38" s="433"/>
      <c r="G38" s="225"/>
      <c r="H38" s="433"/>
      <c r="I38" s="218"/>
    </row>
    <row r="39" spans="1:10" s="220" customFormat="1" ht="20.100000000000001" customHeight="1">
      <c r="A39" s="217" t="s">
        <v>1116</v>
      </c>
      <c r="B39" s="865" t="s">
        <v>1122</v>
      </c>
      <c r="C39" s="865"/>
      <c r="D39" s="428"/>
      <c r="E39" s="227" t="s">
        <v>1117</v>
      </c>
      <c r="F39" s="863"/>
      <c r="G39" s="863"/>
      <c r="H39" s="428" t="s">
        <v>1118</v>
      </c>
      <c r="I39" s="218"/>
    </row>
    <row r="40" spans="1:10" ht="20.100000000000001" customHeight="1">
      <c r="A40" s="228"/>
      <c r="B40" s="866"/>
      <c r="C40" s="866"/>
      <c r="D40" s="229"/>
      <c r="E40" s="218"/>
      <c r="F40" s="229"/>
      <c r="G40" s="230"/>
      <c r="H40" s="229"/>
      <c r="I40" s="231"/>
    </row>
    <row r="41" spans="1:10" ht="20.100000000000001" customHeight="1">
      <c r="A41" s="228"/>
      <c r="B41" s="229"/>
      <c r="C41" s="433"/>
      <c r="D41" s="229"/>
      <c r="E41" s="218"/>
      <c r="F41" s="229"/>
      <c r="G41" s="230"/>
      <c r="H41" s="229"/>
      <c r="I41" s="231"/>
    </row>
    <row r="42" spans="1:10" ht="21.75" customHeight="1">
      <c r="A42" s="228"/>
      <c r="B42" s="229"/>
      <c r="C42" s="433"/>
      <c r="D42" s="229"/>
      <c r="E42" s="218"/>
      <c r="F42" s="229"/>
      <c r="G42" s="230"/>
      <c r="H42" s="229"/>
      <c r="I42" s="231"/>
    </row>
    <row r="43" spans="1:10" ht="21.75" customHeight="1">
      <c r="A43" s="228"/>
      <c r="B43" s="229"/>
      <c r="C43" s="433"/>
      <c r="D43" s="229"/>
      <c r="E43" s="218"/>
      <c r="F43" s="229"/>
      <c r="G43" s="230"/>
      <c r="H43" s="229"/>
      <c r="I43" s="231"/>
    </row>
    <row r="44" spans="1:10" ht="21.75" customHeight="1">
      <c r="A44" s="228"/>
      <c r="B44" s="229"/>
      <c r="C44" s="433"/>
      <c r="D44" s="229"/>
      <c r="E44" s="218"/>
      <c r="F44" s="229"/>
      <c r="G44" s="230"/>
      <c r="H44" s="229"/>
      <c r="I44" s="231"/>
    </row>
    <row r="45" spans="1:10" ht="21.75" customHeight="1">
      <c r="A45" s="228"/>
      <c r="B45" s="229"/>
      <c r="C45" s="433"/>
      <c r="D45" s="229"/>
      <c r="E45" s="218"/>
      <c r="F45" s="229"/>
      <c r="G45" s="230"/>
      <c r="H45" s="229"/>
      <c r="I45" s="231"/>
    </row>
    <row r="46" spans="1:10" ht="21.75" customHeight="1">
      <c r="A46" s="228"/>
      <c r="B46" s="229"/>
      <c r="C46" s="229"/>
      <c r="D46" s="229"/>
      <c r="E46" s="231"/>
      <c r="F46" s="229"/>
      <c r="G46" s="230"/>
      <c r="H46" s="229"/>
      <c r="I46" s="231"/>
    </row>
    <row r="47" spans="1:10" ht="20.25">
      <c r="A47" s="226"/>
      <c r="B47" s="503"/>
      <c r="C47" s="226"/>
      <c r="E47" s="226"/>
      <c r="F47" s="226"/>
      <c r="G47" s="226"/>
      <c r="H47" s="226"/>
      <c r="I47" s="226"/>
    </row>
    <row r="48" spans="1:10" ht="20.25">
      <c r="A48" s="226"/>
      <c r="B48" s="226"/>
      <c r="C48" s="226"/>
      <c r="D48" s="226"/>
      <c r="E48" s="226"/>
      <c r="F48" s="226"/>
      <c r="G48" s="226"/>
      <c r="H48" s="226"/>
      <c r="I48" s="226"/>
    </row>
    <row r="49" spans="1:9" ht="20.25">
      <c r="A49" s="226"/>
      <c r="B49" s="226"/>
      <c r="C49" s="226"/>
      <c r="D49" s="226"/>
      <c r="E49" s="226"/>
      <c r="F49" s="226"/>
      <c r="G49" s="226"/>
      <c r="H49" s="226"/>
      <c r="I49" s="226"/>
    </row>
    <row r="50" spans="1:9" ht="20.25">
      <c r="A50" s="226"/>
      <c r="B50" s="226"/>
      <c r="C50" s="226"/>
      <c r="D50" s="226"/>
      <c r="E50" s="226"/>
      <c r="F50" s="226"/>
      <c r="G50" s="226"/>
      <c r="H50" s="226"/>
      <c r="I50" s="226"/>
    </row>
    <row r="51" spans="1:9" ht="20.25">
      <c r="A51" s="226"/>
      <c r="B51" s="226"/>
      <c r="C51" s="226"/>
      <c r="D51" s="226"/>
      <c r="E51" s="226"/>
      <c r="F51" s="226"/>
      <c r="G51" s="226"/>
      <c r="H51" s="226"/>
      <c r="I51" s="226"/>
    </row>
    <row r="52" spans="1:9" ht="20.25">
      <c r="A52" s="226"/>
      <c r="B52" s="226"/>
      <c r="C52" s="226"/>
      <c r="D52" s="226"/>
      <c r="E52" s="226"/>
      <c r="F52" s="226"/>
      <c r="G52" s="226"/>
      <c r="H52" s="226"/>
      <c r="I52" s="226"/>
    </row>
    <row r="53" spans="1:9" ht="20.25">
      <c r="A53" s="226"/>
      <c r="B53" s="226"/>
      <c r="C53" s="226"/>
      <c r="D53" s="226"/>
      <c r="E53" s="226"/>
      <c r="F53" s="226"/>
      <c r="G53" s="226"/>
      <c r="H53" s="226"/>
      <c r="I53" s="226"/>
    </row>
    <row r="54" spans="1:9" ht="20.25">
      <c r="A54" s="226"/>
      <c r="B54" s="226"/>
      <c r="C54" s="226"/>
      <c r="D54" s="226"/>
      <c r="E54" s="226"/>
      <c r="F54" s="226"/>
      <c r="G54" s="226"/>
      <c r="H54" s="226"/>
      <c r="I54" s="226"/>
    </row>
    <row r="55" spans="1:9" ht="20.25">
      <c r="A55" s="226"/>
      <c r="B55" s="226"/>
      <c r="C55" s="226"/>
      <c r="D55" s="226"/>
      <c r="E55" s="226"/>
      <c r="F55" s="226"/>
      <c r="G55" s="226"/>
      <c r="H55" s="226"/>
      <c r="I55" s="226"/>
    </row>
    <row r="56" spans="1:9" ht="20.25">
      <c r="A56" s="226"/>
      <c r="B56" s="226"/>
      <c r="C56" s="226"/>
      <c r="D56" s="226"/>
      <c r="E56" s="226"/>
      <c r="F56" s="226"/>
      <c r="G56" s="226"/>
      <c r="H56" s="226"/>
      <c r="I56" s="226"/>
    </row>
    <row r="57" spans="1:9" ht="20.25">
      <c r="A57" s="226"/>
      <c r="B57" s="226"/>
      <c r="C57" s="226"/>
      <c r="D57" s="226"/>
      <c r="E57" s="226"/>
      <c r="F57" s="226"/>
      <c r="G57" s="226"/>
      <c r="H57" s="226"/>
      <c r="I57" s="226"/>
    </row>
    <row r="58" spans="1:9" ht="20.25">
      <c r="A58" s="226"/>
      <c r="B58" s="226"/>
      <c r="C58" s="226"/>
      <c r="D58" s="226"/>
      <c r="E58" s="226"/>
      <c r="F58" s="226"/>
      <c r="G58" s="226"/>
      <c r="H58" s="226"/>
      <c r="I58" s="226"/>
    </row>
    <row r="59" spans="1:9" ht="20.25">
      <c r="A59" s="226"/>
      <c r="B59" s="226"/>
      <c r="C59" s="226"/>
      <c r="D59" s="226"/>
      <c r="E59" s="226"/>
      <c r="F59" s="226"/>
      <c r="G59" s="226"/>
      <c r="H59" s="226"/>
      <c r="I59" s="226"/>
    </row>
    <row r="60" spans="1:9" ht="20.25">
      <c r="A60" s="226"/>
      <c r="B60" s="226"/>
      <c r="C60" s="226"/>
      <c r="D60" s="226"/>
      <c r="E60" s="226"/>
      <c r="F60" s="226"/>
      <c r="G60" s="226"/>
      <c r="H60" s="226"/>
      <c r="I60" s="226"/>
    </row>
    <row r="61" spans="1:9" ht="20.25">
      <c r="A61" s="226"/>
      <c r="B61" s="226"/>
      <c r="C61" s="226"/>
      <c r="D61" s="226"/>
      <c r="E61" s="226"/>
      <c r="F61" s="226"/>
      <c r="G61" s="226"/>
      <c r="H61" s="226"/>
      <c r="I61" s="226"/>
    </row>
    <row r="62" spans="1:9" ht="20.25">
      <c r="A62" s="226"/>
      <c r="B62" s="226"/>
      <c r="C62" s="226"/>
      <c r="D62" s="226"/>
      <c r="E62" s="226"/>
      <c r="F62" s="226"/>
      <c r="G62" s="226"/>
      <c r="H62" s="226"/>
      <c r="I62" s="226"/>
    </row>
    <row r="63" spans="1:9" ht="20.25">
      <c r="A63" s="226"/>
      <c r="B63" s="226"/>
      <c r="C63" s="226"/>
      <c r="D63" s="226"/>
      <c r="E63" s="226"/>
      <c r="F63" s="226"/>
      <c r="G63" s="226"/>
      <c r="H63" s="226"/>
      <c r="I63" s="226"/>
    </row>
    <row r="64" spans="1:9" ht="20.25">
      <c r="A64" s="226"/>
      <c r="B64" s="226"/>
      <c r="C64" s="226"/>
      <c r="D64" s="226"/>
      <c r="E64" s="226"/>
      <c r="F64" s="226"/>
      <c r="G64" s="226"/>
      <c r="H64" s="226"/>
      <c r="I64" s="226"/>
    </row>
    <row r="65" spans="1:9" ht="20.25">
      <c r="A65" s="226"/>
      <c r="B65" s="226"/>
      <c r="C65" s="226"/>
      <c r="D65" s="226"/>
      <c r="E65" s="226"/>
      <c r="F65" s="226"/>
      <c r="G65" s="226"/>
      <c r="H65" s="226"/>
      <c r="I65" s="226"/>
    </row>
    <row r="66" spans="1:9" ht="20.25">
      <c r="A66" s="226"/>
      <c r="B66" s="226"/>
      <c r="C66" s="226"/>
      <c r="D66" s="226"/>
      <c r="E66" s="226"/>
      <c r="F66" s="226"/>
      <c r="G66" s="226"/>
      <c r="H66" s="226"/>
      <c r="I66" s="226"/>
    </row>
    <row r="67" spans="1:9" ht="20.25">
      <c r="A67" s="226"/>
      <c r="B67" s="226"/>
      <c r="C67" s="226"/>
      <c r="D67" s="226"/>
      <c r="E67" s="226"/>
      <c r="F67" s="226"/>
      <c r="G67" s="226"/>
      <c r="H67" s="226"/>
      <c r="I67" s="226"/>
    </row>
    <row r="68" spans="1:9" ht="20.25">
      <c r="A68" s="226"/>
      <c r="B68" s="226"/>
      <c r="C68" s="226"/>
      <c r="D68" s="226"/>
      <c r="E68" s="226"/>
      <c r="F68" s="226"/>
      <c r="G68" s="226"/>
      <c r="H68" s="226"/>
      <c r="I68" s="226"/>
    </row>
    <row r="69" spans="1:9" ht="20.25">
      <c r="A69" s="226"/>
      <c r="B69" s="226"/>
      <c r="C69" s="226"/>
      <c r="D69" s="226"/>
      <c r="E69" s="226"/>
      <c r="F69" s="226"/>
      <c r="G69" s="226"/>
      <c r="H69" s="226"/>
      <c r="I69" s="226"/>
    </row>
    <row r="70" spans="1:9" ht="20.25">
      <c r="A70" s="226"/>
      <c r="B70" s="226"/>
      <c r="C70" s="226"/>
      <c r="D70" s="226"/>
      <c r="E70" s="226"/>
      <c r="F70" s="226"/>
      <c r="G70" s="226"/>
      <c r="H70" s="226"/>
      <c r="I70" s="226"/>
    </row>
    <row r="71" spans="1:9" ht="20.25">
      <c r="A71" s="226"/>
      <c r="B71" s="226"/>
      <c r="C71" s="226"/>
      <c r="D71" s="226"/>
      <c r="E71" s="226"/>
      <c r="F71" s="226"/>
      <c r="G71" s="226"/>
      <c r="H71" s="226"/>
      <c r="I71" s="226"/>
    </row>
    <row r="72" spans="1:9" ht="20.25">
      <c r="A72" s="226"/>
      <c r="B72" s="226"/>
      <c r="C72" s="226"/>
      <c r="D72" s="226"/>
      <c r="E72" s="226"/>
      <c r="F72" s="226"/>
      <c r="G72" s="226"/>
      <c r="H72" s="226"/>
      <c r="I72" s="226"/>
    </row>
    <row r="73" spans="1:9" ht="20.25">
      <c r="A73" s="226"/>
      <c r="B73" s="226"/>
      <c r="C73" s="226"/>
      <c r="D73" s="226"/>
      <c r="E73" s="226"/>
      <c r="F73" s="226"/>
      <c r="G73" s="226"/>
      <c r="H73" s="226"/>
      <c r="I73" s="226"/>
    </row>
    <row r="74" spans="1:9" ht="20.25">
      <c r="A74" s="226"/>
      <c r="B74" s="226"/>
      <c r="C74" s="226"/>
      <c r="D74" s="226"/>
      <c r="E74" s="226"/>
      <c r="F74" s="226"/>
      <c r="G74" s="226"/>
      <c r="H74" s="226"/>
      <c r="I74" s="226"/>
    </row>
    <row r="75" spans="1:9" ht="20.25">
      <c r="A75" s="226"/>
      <c r="B75" s="226"/>
      <c r="C75" s="226"/>
      <c r="D75" s="226"/>
      <c r="E75" s="226"/>
      <c r="F75" s="226"/>
      <c r="G75" s="226"/>
      <c r="H75" s="226"/>
      <c r="I75" s="226"/>
    </row>
    <row r="76" spans="1:9" ht="20.25">
      <c r="A76" s="226"/>
      <c r="B76" s="226"/>
      <c r="C76" s="226"/>
      <c r="D76" s="226"/>
      <c r="E76" s="226"/>
      <c r="F76" s="226"/>
      <c r="G76" s="226"/>
      <c r="H76" s="226"/>
      <c r="I76" s="226"/>
    </row>
    <row r="77" spans="1:9" ht="20.25">
      <c r="A77" s="226"/>
      <c r="B77" s="226"/>
      <c r="C77" s="226"/>
      <c r="D77" s="226"/>
      <c r="E77" s="226"/>
      <c r="F77" s="226"/>
      <c r="G77" s="226"/>
      <c r="H77" s="226"/>
      <c r="I77" s="226"/>
    </row>
    <row r="78" spans="1:9" ht="20.25">
      <c r="A78" s="226"/>
      <c r="B78" s="226"/>
      <c r="C78" s="226"/>
      <c r="D78" s="226"/>
      <c r="E78" s="226"/>
      <c r="F78" s="226"/>
      <c r="G78" s="226"/>
      <c r="H78" s="226"/>
      <c r="I78" s="226"/>
    </row>
    <row r="79" spans="1:9" ht="20.25">
      <c r="A79" s="226"/>
      <c r="B79" s="226"/>
      <c r="C79" s="226"/>
      <c r="D79" s="226"/>
      <c r="E79" s="226"/>
      <c r="F79" s="226"/>
      <c r="G79" s="226"/>
      <c r="H79" s="226"/>
      <c r="I79" s="226"/>
    </row>
    <row r="80" spans="1:9" ht="20.25">
      <c r="A80" s="226"/>
      <c r="B80" s="226"/>
      <c r="C80" s="226"/>
      <c r="D80" s="226"/>
      <c r="E80" s="226"/>
      <c r="F80" s="226"/>
      <c r="G80" s="226"/>
      <c r="H80" s="226"/>
      <c r="I80" s="226"/>
    </row>
    <row r="81" spans="1:9" ht="20.25">
      <c r="A81" s="226"/>
      <c r="B81" s="226"/>
      <c r="C81" s="226"/>
      <c r="D81" s="226"/>
      <c r="E81" s="226"/>
      <c r="F81" s="226"/>
      <c r="G81" s="226"/>
      <c r="H81" s="226"/>
      <c r="I81" s="226"/>
    </row>
    <row r="82" spans="1:9" ht="20.25">
      <c r="A82" s="226"/>
      <c r="B82" s="226"/>
      <c r="C82" s="226"/>
      <c r="D82" s="226"/>
      <c r="E82" s="226"/>
      <c r="F82" s="226"/>
      <c r="G82" s="226"/>
      <c r="H82" s="226"/>
      <c r="I82" s="226"/>
    </row>
    <row r="83" spans="1:9" ht="20.25">
      <c r="A83" s="226"/>
      <c r="B83" s="226"/>
      <c r="C83" s="226"/>
      <c r="D83" s="226"/>
      <c r="E83" s="226"/>
      <c r="F83" s="226"/>
      <c r="G83" s="226"/>
      <c r="H83" s="226"/>
      <c r="I83" s="226"/>
    </row>
    <row r="84" spans="1:9" ht="20.25">
      <c r="A84" s="226"/>
      <c r="B84" s="226"/>
      <c r="C84" s="226"/>
      <c r="D84" s="226"/>
      <c r="E84" s="226"/>
      <c r="F84" s="226"/>
      <c r="G84" s="226"/>
      <c r="H84" s="226"/>
      <c r="I84" s="226"/>
    </row>
    <row r="85" spans="1:9" ht="20.25">
      <c r="A85" s="226"/>
      <c r="B85" s="226"/>
      <c r="C85" s="226"/>
      <c r="D85" s="226"/>
      <c r="E85" s="226"/>
      <c r="F85" s="226"/>
      <c r="G85" s="226"/>
      <c r="H85" s="226"/>
      <c r="I85" s="226"/>
    </row>
    <row r="86" spans="1:9" ht="20.25">
      <c r="A86" s="226"/>
      <c r="B86" s="226"/>
      <c r="C86" s="226"/>
      <c r="D86" s="226"/>
      <c r="E86" s="226"/>
      <c r="F86" s="226"/>
      <c r="G86" s="226"/>
      <c r="H86" s="226"/>
      <c r="I86" s="226"/>
    </row>
    <row r="87" spans="1:9" ht="20.25">
      <c r="A87" s="226"/>
      <c r="B87" s="226"/>
      <c r="C87" s="226"/>
      <c r="D87" s="226"/>
      <c r="E87" s="226"/>
      <c r="F87" s="226"/>
      <c r="G87" s="226"/>
      <c r="H87" s="226"/>
      <c r="I87" s="226"/>
    </row>
    <row r="88" spans="1:9" ht="20.25">
      <c r="A88" s="226"/>
      <c r="B88" s="226"/>
      <c r="C88" s="226"/>
      <c r="D88" s="226"/>
      <c r="E88" s="226"/>
      <c r="F88" s="226"/>
      <c r="G88" s="226"/>
      <c r="H88" s="226"/>
      <c r="I88" s="226"/>
    </row>
    <row r="89" spans="1:9" ht="20.25">
      <c r="A89" s="226"/>
      <c r="B89" s="226"/>
      <c r="C89" s="226"/>
      <c r="D89" s="226"/>
      <c r="E89" s="226"/>
      <c r="F89" s="226"/>
      <c r="G89" s="226"/>
      <c r="H89" s="226"/>
      <c r="I89" s="226"/>
    </row>
    <row r="90" spans="1:9" ht="20.25">
      <c r="A90" s="226"/>
      <c r="B90" s="226"/>
      <c r="C90" s="226"/>
      <c r="D90" s="226"/>
      <c r="E90" s="226"/>
      <c r="F90" s="226"/>
      <c r="G90" s="226"/>
      <c r="H90" s="226"/>
      <c r="I90" s="226"/>
    </row>
    <row r="91" spans="1:9" ht="20.25">
      <c r="A91" s="226"/>
      <c r="B91" s="226"/>
      <c r="C91" s="226"/>
      <c r="D91" s="226"/>
      <c r="E91" s="226"/>
      <c r="F91" s="226"/>
      <c r="G91" s="226"/>
      <c r="H91" s="226"/>
      <c r="I91" s="226"/>
    </row>
    <row r="92" spans="1:9" ht="20.25">
      <c r="A92" s="226"/>
      <c r="B92" s="226"/>
      <c r="C92" s="226"/>
      <c r="D92" s="226"/>
      <c r="E92" s="226"/>
      <c r="F92" s="226"/>
      <c r="G92" s="226"/>
      <c r="H92" s="226"/>
      <c r="I92" s="226"/>
    </row>
    <row r="93" spans="1:9" ht="20.25">
      <c r="A93" s="226"/>
      <c r="B93" s="226"/>
      <c r="C93" s="226"/>
      <c r="D93" s="226"/>
      <c r="E93" s="226"/>
      <c r="F93" s="226"/>
      <c r="G93" s="226"/>
      <c r="H93" s="226"/>
      <c r="I93" s="226"/>
    </row>
    <row r="94" spans="1:9" ht="20.25">
      <c r="A94" s="226"/>
      <c r="B94" s="226"/>
      <c r="C94" s="226"/>
      <c r="D94" s="226"/>
      <c r="E94" s="226"/>
      <c r="F94" s="226"/>
      <c r="G94" s="226"/>
      <c r="H94" s="226"/>
      <c r="I94" s="226"/>
    </row>
    <row r="95" spans="1:9" ht="20.25">
      <c r="A95" s="226"/>
      <c r="B95" s="226"/>
      <c r="C95" s="226"/>
      <c r="D95" s="226"/>
      <c r="E95" s="226"/>
      <c r="F95" s="226"/>
      <c r="G95" s="226"/>
      <c r="H95" s="226"/>
      <c r="I95" s="226"/>
    </row>
    <row r="96" spans="1:9" ht="20.25">
      <c r="A96" s="226"/>
      <c r="B96" s="226"/>
      <c r="C96" s="226"/>
      <c r="D96" s="226"/>
      <c r="E96" s="226"/>
      <c r="F96" s="226"/>
      <c r="G96" s="226"/>
      <c r="H96" s="226"/>
      <c r="I96" s="226"/>
    </row>
    <row r="97" spans="1:9" ht="20.25">
      <c r="A97" s="226"/>
      <c r="B97" s="226"/>
      <c r="C97" s="226"/>
      <c r="D97" s="226"/>
      <c r="E97" s="226"/>
      <c r="F97" s="226"/>
      <c r="G97" s="226"/>
      <c r="H97" s="226"/>
      <c r="I97" s="226"/>
    </row>
    <row r="98" spans="1:9" ht="20.25">
      <c r="A98" s="226"/>
      <c r="B98" s="226"/>
      <c r="C98" s="226"/>
      <c r="D98" s="226"/>
      <c r="E98" s="226"/>
      <c r="F98" s="226"/>
      <c r="G98" s="226"/>
      <c r="H98" s="226"/>
      <c r="I98" s="226"/>
    </row>
    <row r="99" spans="1:9" ht="20.25">
      <c r="A99" s="226"/>
      <c r="B99" s="226"/>
      <c r="C99" s="226"/>
      <c r="D99" s="226"/>
      <c r="E99" s="226"/>
      <c r="F99" s="226"/>
      <c r="G99" s="226"/>
      <c r="H99" s="226"/>
      <c r="I99" s="226"/>
    </row>
    <row r="100" spans="1:9" ht="20.25">
      <c r="A100" s="226"/>
      <c r="B100" s="226"/>
      <c r="C100" s="226"/>
      <c r="D100" s="226"/>
      <c r="E100" s="226"/>
      <c r="F100" s="226"/>
      <c r="G100" s="226"/>
      <c r="H100" s="226"/>
      <c r="I100" s="226"/>
    </row>
    <row r="101" spans="1:9" ht="20.25">
      <c r="A101" s="226"/>
      <c r="B101" s="226"/>
      <c r="C101" s="226"/>
      <c r="D101" s="226"/>
      <c r="E101" s="226"/>
      <c r="F101" s="226"/>
      <c r="G101" s="226"/>
      <c r="H101" s="226"/>
      <c r="I101" s="226"/>
    </row>
    <row r="102" spans="1:9" ht="20.25">
      <c r="A102" s="226"/>
      <c r="B102" s="226"/>
      <c r="C102" s="226"/>
      <c r="D102" s="226"/>
      <c r="E102" s="226"/>
      <c r="F102" s="226"/>
      <c r="G102" s="226"/>
      <c r="H102" s="226"/>
      <c r="I102" s="226"/>
    </row>
    <row r="103" spans="1:9" ht="20.25">
      <c r="A103" s="226"/>
      <c r="B103" s="226"/>
      <c r="C103" s="226"/>
      <c r="D103" s="226"/>
      <c r="E103" s="226"/>
      <c r="F103" s="226"/>
      <c r="G103" s="226"/>
      <c r="H103" s="226"/>
      <c r="I103" s="226"/>
    </row>
    <row r="104" spans="1:9" ht="20.25">
      <c r="A104" s="226"/>
      <c r="B104" s="226"/>
      <c r="C104" s="226"/>
      <c r="D104" s="226"/>
      <c r="E104" s="226"/>
      <c r="F104" s="226"/>
      <c r="G104" s="226"/>
      <c r="H104" s="226"/>
      <c r="I104" s="226"/>
    </row>
    <row r="105" spans="1:9" ht="20.25">
      <c r="A105" s="226"/>
      <c r="B105" s="226"/>
      <c r="C105" s="226"/>
      <c r="D105" s="226"/>
      <c r="E105" s="226"/>
      <c r="F105" s="226"/>
      <c r="G105" s="226"/>
      <c r="H105" s="226"/>
      <c r="I105" s="226"/>
    </row>
    <row r="106" spans="1:9" ht="20.25">
      <c r="A106" s="226"/>
      <c r="B106" s="226"/>
      <c r="C106" s="226"/>
      <c r="D106" s="226"/>
      <c r="E106" s="226"/>
      <c r="F106" s="226"/>
      <c r="G106" s="226"/>
      <c r="H106" s="226"/>
      <c r="I106" s="226"/>
    </row>
    <row r="107" spans="1:9" ht="20.25">
      <c r="A107" s="226"/>
      <c r="B107" s="226"/>
      <c r="C107" s="226"/>
      <c r="D107" s="226"/>
      <c r="E107" s="226"/>
      <c r="F107" s="226"/>
      <c r="G107" s="226"/>
      <c r="H107" s="226"/>
      <c r="I107" s="226"/>
    </row>
    <row r="108" spans="1:9" ht="20.25">
      <c r="A108" s="226"/>
      <c r="B108" s="226"/>
      <c r="C108" s="226"/>
      <c r="D108" s="226"/>
      <c r="E108" s="226"/>
      <c r="F108" s="226"/>
      <c r="G108" s="226"/>
      <c r="H108" s="226"/>
      <c r="I108" s="226"/>
    </row>
    <row r="109" spans="1:9" ht="20.25">
      <c r="A109" s="226"/>
      <c r="B109" s="226"/>
      <c r="C109" s="226"/>
      <c r="D109" s="226"/>
      <c r="E109" s="226"/>
      <c r="F109" s="226"/>
      <c r="G109" s="226"/>
      <c r="H109" s="226"/>
      <c r="I109" s="226"/>
    </row>
    <row r="110" spans="1:9" ht="20.25">
      <c r="A110" s="226"/>
      <c r="B110" s="226"/>
      <c r="C110" s="226"/>
      <c r="D110" s="226"/>
      <c r="E110" s="226"/>
      <c r="F110" s="226"/>
      <c r="G110" s="226"/>
      <c r="H110" s="226"/>
      <c r="I110" s="226"/>
    </row>
    <row r="111" spans="1:9" ht="20.25">
      <c r="A111" s="226"/>
      <c r="B111" s="226"/>
      <c r="C111" s="226"/>
      <c r="D111" s="226"/>
      <c r="E111" s="226"/>
      <c r="F111" s="226"/>
      <c r="G111" s="226"/>
      <c r="H111" s="226"/>
      <c r="I111" s="226"/>
    </row>
    <row r="112" spans="1:9" ht="20.25">
      <c r="A112" s="226"/>
      <c r="B112" s="226"/>
      <c r="C112" s="226"/>
      <c r="D112" s="226"/>
      <c r="E112" s="226"/>
      <c r="F112" s="226"/>
      <c r="G112" s="226"/>
      <c r="H112" s="226"/>
      <c r="I112" s="226"/>
    </row>
    <row r="113" spans="1:9" ht="20.25">
      <c r="A113" s="226"/>
      <c r="B113" s="226"/>
      <c r="C113" s="226"/>
      <c r="D113" s="226"/>
      <c r="E113" s="226"/>
      <c r="F113" s="226"/>
      <c r="G113" s="226"/>
      <c r="H113" s="226"/>
      <c r="I113" s="226"/>
    </row>
    <row r="114" spans="1:9" ht="20.25">
      <c r="A114" s="226"/>
      <c r="B114" s="226"/>
      <c r="C114" s="226"/>
      <c r="D114" s="226"/>
      <c r="E114" s="226"/>
      <c r="F114" s="226"/>
      <c r="G114" s="226"/>
      <c r="H114" s="226"/>
      <c r="I114" s="226"/>
    </row>
    <row r="115" spans="1:9" ht="20.25">
      <c r="A115" s="226"/>
      <c r="B115" s="226"/>
      <c r="C115" s="226"/>
      <c r="D115" s="226"/>
      <c r="E115" s="226"/>
      <c r="F115" s="226"/>
      <c r="G115" s="226"/>
      <c r="H115" s="226"/>
      <c r="I115" s="226"/>
    </row>
    <row r="116" spans="1:9" ht="20.25">
      <c r="A116" s="226"/>
      <c r="B116" s="226"/>
      <c r="C116" s="226"/>
      <c r="D116" s="226"/>
      <c r="E116" s="226"/>
      <c r="F116" s="226"/>
      <c r="G116" s="226"/>
      <c r="H116" s="226"/>
      <c r="I116" s="226"/>
    </row>
    <row r="117" spans="1:9" ht="20.25">
      <c r="A117" s="226"/>
      <c r="B117" s="226"/>
      <c r="C117" s="226"/>
      <c r="D117" s="226"/>
      <c r="E117" s="226"/>
      <c r="F117" s="226"/>
      <c r="G117" s="226"/>
      <c r="H117" s="226"/>
      <c r="I117" s="226"/>
    </row>
    <row r="118" spans="1:9" ht="20.25">
      <c r="A118" s="226"/>
      <c r="B118" s="226"/>
      <c r="C118" s="226"/>
      <c r="D118" s="226"/>
      <c r="E118" s="226"/>
      <c r="F118" s="226"/>
      <c r="G118" s="226"/>
      <c r="H118" s="226"/>
      <c r="I118" s="226"/>
    </row>
    <row r="119" spans="1:9" ht="20.25">
      <c r="A119" s="226"/>
      <c r="B119" s="226"/>
      <c r="C119" s="226"/>
      <c r="D119" s="226"/>
      <c r="E119" s="226"/>
      <c r="F119" s="226"/>
      <c r="G119" s="226"/>
      <c r="H119" s="226"/>
      <c r="I119" s="226"/>
    </row>
    <row r="120" spans="1:9" ht="20.25">
      <c r="A120" s="226"/>
      <c r="B120" s="226"/>
      <c r="C120" s="226"/>
      <c r="D120" s="226"/>
      <c r="E120" s="226"/>
      <c r="F120" s="226"/>
      <c r="G120" s="226"/>
      <c r="H120" s="226"/>
      <c r="I120" s="226"/>
    </row>
    <row r="121" spans="1:9" ht="20.25">
      <c r="A121" s="226"/>
      <c r="B121" s="226"/>
      <c r="C121" s="226"/>
      <c r="D121" s="226"/>
      <c r="E121" s="226"/>
      <c r="F121" s="226"/>
      <c r="G121" s="226"/>
      <c r="H121" s="226"/>
      <c r="I121" s="226"/>
    </row>
    <row r="122" spans="1:9" ht="20.25">
      <c r="A122" s="226"/>
      <c r="B122" s="226"/>
      <c r="C122" s="226"/>
      <c r="D122" s="226"/>
      <c r="E122" s="226"/>
      <c r="F122" s="226"/>
      <c r="G122" s="226"/>
      <c r="H122" s="226"/>
      <c r="I122" s="226"/>
    </row>
    <row r="123" spans="1:9" ht="20.25">
      <c r="A123" s="226"/>
      <c r="B123" s="226"/>
      <c r="C123" s="226"/>
      <c r="D123" s="226"/>
      <c r="E123" s="226"/>
      <c r="F123" s="226"/>
      <c r="G123" s="226"/>
      <c r="H123" s="226"/>
      <c r="I123" s="226"/>
    </row>
    <row r="124" spans="1:9" ht="20.25">
      <c r="A124" s="226"/>
      <c r="B124" s="226"/>
      <c r="C124" s="226"/>
      <c r="D124" s="226"/>
      <c r="E124" s="226"/>
      <c r="F124" s="226"/>
      <c r="G124" s="226"/>
      <c r="H124" s="226"/>
      <c r="I124" s="226"/>
    </row>
    <row r="125" spans="1:9" ht="20.25">
      <c r="A125" s="226"/>
      <c r="B125" s="226"/>
      <c r="C125" s="226"/>
      <c r="D125" s="226"/>
      <c r="E125" s="226"/>
      <c r="F125" s="226"/>
      <c r="G125" s="226"/>
      <c r="H125" s="226"/>
      <c r="I125" s="226"/>
    </row>
    <row r="126" spans="1:9" ht="20.25">
      <c r="A126" s="226"/>
      <c r="B126" s="226"/>
      <c r="C126" s="226"/>
      <c r="D126" s="226"/>
      <c r="E126" s="226"/>
      <c r="F126" s="226"/>
      <c r="G126" s="226"/>
      <c r="H126" s="226"/>
      <c r="I126" s="226"/>
    </row>
    <row r="127" spans="1:9" ht="20.25">
      <c r="A127" s="226"/>
      <c r="B127" s="226"/>
      <c r="C127" s="226"/>
      <c r="D127" s="226"/>
      <c r="E127" s="226"/>
      <c r="F127" s="226"/>
      <c r="G127" s="226"/>
      <c r="H127" s="226"/>
      <c r="I127" s="226"/>
    </row>
    <row r="128" spans="1:9" ht="20.25">
      <c r="A128" s="226"/>
      <c r="B128" s="226"/>
      <c r="C128" s="226"/>
      <c r="D128" s="226"/>
      <c r="E128" s="226"/>
      <c r="F128" s="226"/>
      <c r="G128" s="226"/>
      <c r="H128" s="226"/>
      <c r="I128" s="226"/>
    </row>
    <row r="129" spans="1:9" ht="20.25">
      <c r="A129" s="226"/>
      <c r="B129" s="226"/>
      <c r="C129" s="226"/>
      <c r="D129" s="226"/>
      <c r="E129" s="226"/>
      <c r="F129" s="226"/>
      <c r="G129" s="226"/>
      <c r="H129" s="226"/>
      <c r="I129" s="226"/>
    </row>
    <row r="130" spans="1:9" ht="20.25">
      <c r="A130" s="226"/>
      <c r="B130" s="226"/>
      <c r="C130" s="226"/>
      <c r="D130" s="226"/>
      <c r="E130" s="226"/>
      <c r="F130" s="226"/>
      <c r="G130" s="226"/>
      <c r="H130" s="226"/>
      <c r="I130" s="226"/>
    </row>
    <row r="131" spans="1:9" ht="20.25">
      <c r="A131" s="226"/>
      <c r="B131" s="226"/>
      <c r="C131" s="226"/>
      <c r="D131" s="226"/>
      <c r="E131" s="226"/>
      <c r="F131" s="226"/>
      <c r="G131" s="226"/>
      <c r="H131" s="226"/>
      <c r="I131" s="226"/>
    </row>
    <row r="132" spans="1:9" ht="20.25">
      <c r="A132" s="226"/>
      <c r="B132" s="226"/>
      <c r="C132" s="226"/>
      <c r="D132" s="226"/>
      <c r="E132" s="226"/>
      <c r="F132" s="226"/>
      <c r="G132" s="226"/>
      <c r="H132" s="226"/>
      <c r="I132" s="226"/>
    </row>
    <row r="133" spans="1:9" ht="20.25">
      <c r="A133" s="226"/>
      <c r="B133" s="226"/>
      <c r="C133" s="226"/>
      <c r="D133" s="226"/>
      <c r="E133" s="226"/>
      <c r="F133" s="226"/>
      <c r="G133" s="226"/>
      <c r="H133" s="226"/>
      <c r="I133" s="226"/>
    </row>
    <row r="134" spans="1:9" ht="20.25">
      <c r="A134" s="226"/>
      <c r="B134" s="226"/>
      <c r="C134" s="226"/>
      <c r="D134" s="226"/>
      <c r="E134" s="226"/>
      <c r="F134" s="226"/>
      <c r="G134" s="226"/>
      <c r="H134" s="226"/>
      <c r="I134" s="226"/>
    </row>
    <row r="135" spans="1:9" ht="20.25">
      <c r="A135" s="226"/>
      <c r="B135" s="226"/>
      <c r="C135" s="226"/>
      <c r="D135" s="226"/>
      <c r="E135" s="226"/>
      <c r="F135" s="226"/>
      <c r="G135" s="226"/>
      <c r="H135" s="226"/>
      <c r="I135" s="226"/>
    </row>
    <row r="136" spans="1:9" ht="20.25">
      <c r="A136" s="226"/>
      <c r="B136" s="226"/>
      <c r="C136" s="226"/>
      <c r="D136" s="226"/>
      <c r="E136" s="226"/>
      <c r="F136" s="226"/>
      <c r="G136" s="226"/>
      <c r="H136" s="226"/>
      <c r="I136" s="226"/>
    </row>
    <row r="137" spans="1:9" ht="20.25">
      <c r="A137" s="226"/>
      <c r="B137" s="226"/>
      <c r="C137" s="226"/>
      <c r="D137" s="226"/>
      <c r="E137" s="226"/>
      <c r="F137" s="226"/>
      <c r="G137" s="226"/>
      <c r="H137" s="226"/>
      <c r="I137" s="226"/>
    </row>
    <row r="138" spans="1:9" ht="20.25">
      <c r="A138" s="226"/>
      <c r="B138" s="226"/>
      <c r="C138" s="226"/>
      <c r="D138" s="226"/>
      <c r="E138" s="226"/>
      <c r="F138" s="226"/>
      <c r="G138" s="226"/>
      <c r="H138" s="226"/>
      <c r="I138" s="226"/>
    </row>
    <row r="139" spans="1:9" ht="20.25">
      <c r="A139" s="226"/>
      <c r="B139" s="226"/>
      <c r="C139" s="226"/>
      <c r="D139" s="226"/>
      <c r="E139" s="226"/>
      <c r="F139" s="226"/>
      <c r="G139" s="226"/>
      <c r="H139" s="226"/>
      <c r="I139" s="226"/>
    </row>
    <row r="140" spans="1:9" ht="20.25">
      <c r="A140" s="226"/>
      <c r="B140" s="226"/>
      <c r="C140" s="226"/>
      <c r="D140" s="226"/>
      <c r="E140" s="226"/>
      <c r="F140" s="226"/>
      <c r="G140" s="226"/>
      <c r="H140" s="226"/>
      <c r="I140" s="226"/>
    </row>
    <row r="141" spans="1:9" ht="20.25">
      <c r="A141" s="226"/>
      <c r="B141" s="226"/>
      <c r="C141" s="226"/>
      <c r="D141" s="226"/>
      <c r="E141" s="226"/>
      <c r="F141" s="226"/>
      <c r="G141" s="226"/>
      <c r="H141" s="226"/>
      <c r="I141" s="226"/>
    </row>
    <row r="142" spans="1:9" ht="20.25">
      <c r="A142" s="226"/>
      <c r="B142" s="226"/>
      <c r="C142" s="226"/>
      <c r="D142" s="226"/>
      <c r="E142" s="226"/>
      <c r="F142" s="226"/>
      <c r="G142" s="226"/>
      <c r="H142" s="226"/>
      <c r="I142" s="226"/>
    </row>
    <row r="143" spans="1:9" ht="20.25">
      <c r="A143" s="226"/>
      <c r="B143" s="226"/>
      <c r="C143" s="226"/>
      <c r="D143" s="226"/>
      <c r="E143" s="226"/>
      <c r="F143" s="226"/>
      <c r="G143" s="226"/>
      <c r="H143" s="226"/>
      <c r="I143" s="226"/>
    </row>
    <row r="144" spans="1:9" ht="20.25">
      <c r="A144" s="226"/>
      <c r="B144" s="226"/>
      <c r="C144" s="226"/>
      <c r="D144" s="226"/>
      <c r="E144" s="226"/>
      <c r="F144" s="226"/>
      <c r="G144" s="226"/>
      <c r="H144" s="226"/>
      <c r="I144" s="226"/>
    </row>
    <row r="145" spans="1:9" ht="20.25">
      <c r="A145" s="226"/>
      <c r="B145" s="226"/>
      <c r="C145" s="226"/>
      <c r="D145" s="226"/>
      <c r="E145" s="226"/>
      <c r="F145" s="226"/>
      <c r="G145" s="226"/>
      <c r="H145" s="226"/>
      <c r="I145" s="226"/>
    </row>
    <row r="146" spans="1:9" ht="20.25">
      <c r="A146" s="226"/>
      <c r="B146" s="226"/>
      <c r="C146" s="226"/>
      <c r="D146" s="226"/>
      <c r="E146" s="226"/>
      <c r="F146" s="226"/>
      <c r="G146" s="226"/>
      <c r="H146" s="226"/>
      <c r="I146" s="226"/>
    </row>
    <row r="147" spans="1:9" ht="20.25">
      <c r="A147" s="226"/>
      <c r="B147" s="226"/>
      <c r="C147" s="226"/>
      <c r="D147" s="226"/>
      <c r="E147" s="226"/>
      <c r="F147" s="226"/>
      <c r="G147" s="226"/>
      <c r="H147" s="226"/>
      <c r="I147" s="226"/>
    </row>
    <row r="148" spans="1:9" ht="20.25">
      <c r="A148" s="226"/>
      <c r="B148" s="226"/>
      <c r="C148" s="226"/>
      <c r="D148" s="226"/>
      <c r="E148" s="226"/>
      <c r="F148" s="226"/>
      <c r="G148" s="226"/>
      <c r="H148" s="226"/>
      <c r="I148" s="226"/>
    </row>
    <row r="149" spans="1:9" ht="20.25">
      <c r="A149" s="226"/>
      <c r="B149" s="226"/>
      <c r="C149" s="226"/>
      <c r="D149" s="226"/>
      <c r="E149" s="226"/>
      <c r="F149" s="226"/>
      <c r="G149" s="226"/>
      <c r="H149" s="226"/>
      <c r="I149" s="226"/>
    </row>
    <row r="150" spans="1:9" ht="20.25">
      <c r="A150" s="226"/>
      <c r="B150" s="226"/>
      <c r="C150" s="226"/>
      <c r="D150" s="226"/>
      <c r="E150" s="226"/>
      <c r="F150" s="226"/>
      <c r="G150" s="226"/>
      <c r="H150" s="226"/>
      <c r="I150" s="226"/>
    </row>
    <row r="151" spans="1:9" ht="20.25">
      <c r="A151" s="226"/>
      <c r="B151" s="226"/>
      <c r="C151" s="226"/>
      <c r="D151" s="226"/>
      <c r="E151" s="226"/>
      <c r="F151" s="226"/>
      <c r="G151" s="226"/>
      <c r="H151" s="226"/>
      <c r="I151" s="226"/>
    </row>
    <row r="152" spans="1:9" ht="20.25">
      <c r="A152" s="226"/>
      <c r="B152" s="226"/>
      <c r="C152" s="226"/>
      <c r="D152" s="226"/>
      <c r="E152" s="226"/>
      <c r="F152" s="226"/>
      <c r="G152" s="226"/>
      <c r="H152" s="226"/>
      <c r="I152" s="226"/>
    </row>
    <row r="153" spans="1:9" ht="20.25">
      <c r="A153" s="226"/>
      <c r="B153" s="226"/>
      <c r="C153" s="226"/>
      <c r="D153" s="226"/>
      <c r="E153" s="226"/>
      <c r="F153" s="226"/>
      <c r="G153" s="226"/>
      <c r="H153" s="226"/>
      <c r="I153" s="226"/>
    </row>
    <row r="154" spans="1:9" ht="20.25">
      <c r="A154" s="226"/>
      <c r="B154" s="226"/>
      <c r="C154" s="226"/>
      <c r="D154" s="226"/>
      <c r="E154" s="226"/>
      <c r="F154" s="226"/>
      <c r="G154" s="226"/>
      <c r="H154" s="226"/>
      <c r="I154" s="226"/>
    </row>
    <row r="155" spans="1:9" ht="20.25">
      <c r="A155" s="226"/>
      <c r="B155" s="226"/>
      <c r="C155" s="226"/>
      <c r="D155" s="226"/>
      <c r="E155" s="226"/>
      <c r="F155" s="226"/>
      <c r="G155" s="226"/>
      <c r="H155" s="226"/>
      <c r="I155" s="226"/>
    </row>
    <row r="156" spans="1:9" ht="20.25">
      <c r="A156" s="226"/>
      <c r="B156" s="226"/>
      <c r="C156" s="226"/>
      <c r="D156" s="226"/>
      <c r="E156" s="226"/>
      <c r="F156" s="226"/>
      <c r="G156" s="226"/>
      <c r="H156" s="226"/>
      <c r="I156" s="226"/>
    </row>
    <row r="157" spans="1:9" ht="20.25">
      <c r="A157" s="226"/>
      <c r="B157" s="226"/>
      <c r="C157" s="226"/>
      <c r="D157" s="226"/>
      <c r="E157" s="226"/>
      <c r="F157" s="226"/>
      <c r="G157" s="226"/>
      <c r="H157" s="226"/>
      <c r="I157" s="226"/>
    </row>
    <row r="158" spans="1:9" ht="20.25">
      <c r="A158" s="226"/>
      <c r="B158" s="226"/>
      <c r="C158" s="226"/>
      <c r="D158" s="226"/>
      <c r="E158" s="226"/>
      <c r="F158" s="226"/>
      <c r="G158" s="226"/>
      <c r="H158" s="226"/>
      <c r="I158" s="226"/>
    </row>
    <row r="159" spans="1:9" ht="20.25">
      <c r="A159" s="226"/>
      <c r="B159" s="226"/>
      <c r="C159" s="226"/>
      <c r="D159" s="226"/>
      <c r="E159" s="226"/>
      <c r="F159" s="226"/>
      <c r="G159" s="226"/>
      <c r="H159" s="226"/>
      <c r="I159" s="226"/>
    </row>
    <row r="160" spans="1:9" ht="20.25">
      <c r="A160" s="226"/>
      <c r="B160" s="226"/>
      <c r="C160" s="226"/>
      <c r="D160" s="226"/>
      <c r="E160" s="226"/>
      <c r="F160" s="226"/>
      <c r="G160" s="226"/>
      <c r="H160" s="226"/>
      <c r="I160" s="226"/>
    </row>
    <row r="161" spans="1:9" ht="20.25">
      <c r="A161" s="226"/>
      <c r="B161" s="226"/>
      <c r="C161" s="226"/>
      <c r="D161" s="226"/>
      <c r="E161" s="226"/>
      <c r="F161" s="226"/>
      <c r="G161" s="226"/>
      <c r="H161" s="226"/>
      <c r="I161" s="226"/>
    </row>
    <row r="162" spans="1:9" ht="20.25">
      <c r="A162" s="226"/>
      <c r="B162" s="226"/>
      <c r="C162" s="226"/>
      <c r="D162" s="226"/>
      <c r="E162" s="226"/>
      <c r="F162" s="226"/>
      <c r="G162" s="226"/>
      <c r="H162" s="226"/>
      <c r="I162" s="226"/>
    </row>
    <row r="163" spans="1:9" ht="20.25">
      <c r="A163" s="226"/>
      <c r="B163" s="226"/>
      <c r="C163" s="226"/>
      <c r="D163" s="226"/>
      <c r="E163" s="226"/>
      <c r="F163" s="226"/>
      <c r="G163" s="226"/>
      <c r="H163" s="226"/>
      <c r="I163" s="226"/>
    </row>
    <row r="164" spans="1:9" ht="20.25">
      <c r="A164" s="226"/>
      <c r="B164" s="226"/>
      <c r="C164" s="226"/>
      <c r="D164" s="226"/>
      <c r="E164" s="226"/>
      <c r="F164" s="226"/>
      <c r="G164" s="226"/>
      <c r="H164" s="226"/>
      <c r="I164" s="226"/>
    </row>
    <row r="165" spans="1:9" ht="20.25">
      <c r="A165" s="226"/>
      <c r="B165" s="226"/>
      <c r="C165" s="226"/>
      <c r="D165" s="226"/>
      <c r="E165" s="226"/>
      <c r="F165" s="226"/>
      <c r="G165" s="226"/>
      <c r="H165" s="226"/>
      <c r="I165" s="226"/>
    </row>
    <row r="166" spans="1:9" ht="20.25">
      <c r="A166" s="226"/>
      <c r="B166" s="226"/>
      <c r="C166" s="226"/>
      <c r="D166" s="226"/>
      <c r="E166" s="226"/>
      <c r="F166" s="226"/>
      <c r="G166" s="226"/>
      <c r="H166" s="226"/>
      <c r="I166" s="226"/>
    </row>
    <row r="167" spans="1:9" ht="20.25">
      <c r="A167" s="226"/>
      <c r="B167" s="226"/>
      <c r="C167" s="226"/>
      <c r="D167" s="226"/>
      <c r="E167" s="226"/>
      <c r="F167" s="226"/>
      <c r="G167" s="226"/>
      <c r="H167" s="226"/>
      <c r="I167" s="226"/>
    </row>
    <row r="168" spans="1:9" ht="20.25">
      <c r="A168" s="226"/>
      <c r="B168" s="226"/>
      <c r="C168" s="226"/>
      <c r="D168" s="226"/>
      <c r="E168" s="226"/>
      <c r="F168" s="226"/>
      <c r="G168" s="226"/>
      <c r="H168" s="226"/>
      <c r="I168" s="226"/>
    </row>
    <row r="169" spans="1:9" ht="20.25">
      <c r="A169" s="226"/>
      <c r="B169" s="226"/>
      <c r="C169" s="226"/>
      <c r="D169" s="226"/>
      <c r="E169" s="226"/>
      <c r="F169" s="226"/>
      <c r="G169" s="226"/>
      <c r="H169" s="226"/>
      <c r="I169" s="226"/>
    </row>
    <row r="170" spans="1:9" ht="20.25">
      <c r="A170" s="226"/>
      <c r="B170" s="226"/>
      <c r="C170" s="226"/>
      <c r="D170" s="226"/>
      <c r="E170" s="226"/>
      <c r="F170" s="226"/>
      <c r="G170" s="226"/>
      <c r="H170" s="226"/>
      <c r="I170" s="226"/>
    </row>
    <row r="171" spans="1:9" ht="20.25">
      <c r="A171" s="226"/>
      <c r="B171" s="226"/>
      <c r="C171" s="226"/>
      <c r="D171" s="226"/>
      <c r="E171" s="226"/>
      <c r="F171" s="226"/>
      <c r="G171" s="226"/>
      <c r="H171" s="226"/>
      <c r="I171" s="226"/>
    </row>
    <row r="172" spans="1:9" ht="20.25">
      <c r="A172" s="226"/>
      <c r="B172" s="226"/>
      <c r="C172" s="226"/>
      <c r="D172" s="226"/>
      <c r="E172" s="226"/>
      <c r="F172" s="226"/>
      <c r="G172" s="226"/>
      <c r="H172" s="226"/>
      <c r="I172" s="226"/>
    </row>
    <row r="173" spans="1:9" ht="20.25">
      <c r="A173" s="226"/>
      <c r="B173" s="226"/>
      <c r="C173" s="226"/>
      <c r="D173" s="226"/>
      <c r="E173" s="226"/>
      <c r="F173" s="226"/>
      <c r="G173" s="226"/>
      <c r="H173" s="226"/>
      <c r="I173" s="226"/>
    </row>
    <row r="174" spans="1:9" ht="20.25">
      <c r="A174" s="226"/>
      <c r="B174" s="226"/>
      <c r="C174" s="226"/>
      <c r="D174" s="226"/>
      <c r="E174" s="226"/>
      <c r="F174" s="226"/>
      <c r="G174" s="226"/>
      <c r="H174" s="226"/>
      <c r="I174" s="226"/>
    </row>
    <row r="175" spans="1:9" ht="20.25">
      <c r="A175" s="226"/>
      <c r="B175" s="226"/>
      <c r="C175" s="226"/>
      <c r="D175" s="226"/>
      <c r="E175" s="226"/>
      <c r="F175" s="226"/>
      <c r="G175" s="226"/>
      <c r="H175" s="226"/>
      <c r="I175" s="226"/>
    </row>
    <row r="176" spans="1:9" ht="20.25">
      <c r="A176" s="226"/>
      <c r="B176" s="226"/>
      <c r="C176" s="226"/>
      <c r="D176" s="226"/>
      <c r="E176" s="226"/>
      <c r="F176" s="226"/>
      <c r="G176" s="226"/>
      <c r="H176" s="226"/>
      <c r="I176" s="226"/>
    </row>
    <row r="177" spans="1:9" ht="20.25">
      <c r="A177" s="226"/>
      <c r="B177" s="226"/>
      <c r="C177" s="226"/>
      <c r="D177" s="226"/>
      <c r="E177" s="226"/>
      <c r="F177" s="226"/>
      <c r="G177" s="226"/>
      <c r="H177" s="226"/>
      <c r="I177" s="226"/>
    </row>
    <row r="178" spans="1:9" ht="20.25">
      <c r="A178" s="226"/>
      <c r="B178" s="226"/>
      <c r="C178" s="226"/>
      <c r="D178" s="226"/>
      <c r="E178" s="226"/>
      <c r="F178" s="226"/>
      <c r="G178" s="226"/>
      <c r="H178" s="226"/>
      <c r="I178" s="226"/>
    </row>
    <row r="179" spans="1:9" ht="20.25">
      <c r="A179" s="226"/>
      <c r="B179" s="226"/>
      <c r="C179" s="226"/>
      <c r="D179" s="226"/>
      <c r="E179" s="226"/>
      <c r="F179" s="226"/>
      <c r="G179" s="226"/>
      <c r="H179" s="226"/>
      <c r="I179" s="226"/>
    </row>
    <row r="180" spans="1:9" ht="20.25">
      <c r="A180" s="226"/>
      <c r="B180" s="226"/>
      <c r="C180" s="226"/>
      <c r="D180" s="226"/>
      <c r="E180" s="226"/>
      <c r="F180" s="226"/>
      <c r="G180" s="226"/>
      <c r="H180" s="226"/>
      <c r="I180" s="226"/>
    </row>
    <row r="181" spans="1:9" ht="20.25">
      <c r="A181" s="226"/>
      <c r="B181" s="226"/>
      <c r="C181" s="226"/>
      <c r="D181" s="226"/>
      <c r="E181" s="226"/>
      <c r="F181" s="226"/>
      <c r="G181" s="226"/>
      <c r="H181" s="226"/>
      <c r="I181" s="226"/>
    </row>
    <row r="182" spans="1:9" ht="20.25">
      <c r="A182" s="226"/>
      <c r="B182" s="226"/>
      <c r="C182" s="226"/>
      <c r="D182" s="226"/>
      <c r="E182" s="226"/>
      <c r="F182" s="226"/>
      <c r="G182" s="226"/>
      <c r="H182" s="226"/>
      <c r="I182" s="226"/>
    </row>
    <row r="183" spans="1:9" ht="20.25">
      <c r="A183" s="226"/>
      <c r="B183" s="226"/>
      <c r="C183" s="226"/>
      <c r="D183" s="226"/>
      <c r="E183" s="226"/>
      <c r="F183" s="226"/>
      <c r="G183" s="226"/>
      <c r="H183" s="226"/>
      <c r="I183" s="226"/>
    </row>
    <row r="184" spans="1:9" ht="20.25">
      <c r="A184" s="226"/>
      <c r="B184" s="226"/>
      <c r="C184" s="226"/>
      <c r="D184" s="226"/>
      <c r="E184" s="226"/>
      <c r="F184" s="226"/>
      <c r="G184" s="226"/>
      <c r="H184" s="226"/>
      <c r="I184" s="226"/>
    </row>
    <row r="185" spans="1:9" ht="20.25">
      <c r="A185" s="226"/>
      <c r="B185" s="226"/>
      <c r="C185" s="226"/>
      <c r="D185" s="226"/>
      <c r="E185" s="226"/>
      <c r="F185" s="226"/>
      <c r="G185" s="226"/>
      <c r="H185" s="226"/>
      <c r="I185" s="226"/>
    </row>
    <row r="186" spans="1:9" ht="20.25">
      <c r="A186" s="226"/>
      <c r="B186" s="226"/>
      <c r="C186" s="226"/>
      <c r="D186" s="226"/>
      <c r="E186" s="226"/>
      <c r="F186" s="226"/>
      <c r="G186" s="226"/>
      <c r="H186" s="226"/>
      <c r="I186" s="226"/>
    </row>
    <row r="187" spans="1:9" ht="20.25">
      <c r="A187" s="226"/>
      <c r="B187" s="226"/>
      <c r="C187" s="226"/>
      <c r="D187" s="226"/>
      <c r="E187" s="226"/>
      <c r="F187" s="226"/>
      <c r="G187" s="226"/>
      <c r="H187" s="226"/>
      <c r="I187" s="226"/>
    </row>
    <row r="188" spans="1:9" ht="20.25">
      <c r="A188" s="226"/>
      <c r="B188" s="226"/>
      <c r="C188" s="226"/>
      <c r="D188" s="226"/>
      <c r="E188" s="226"/>
      <c r="F188" s="226"/>
      <c r="G188" s="226"/>
      <c r="H188" s="226"/>
      <c r="I188" s="226"/>
    </row>
    <row r="189" spans="1:9" ht="20.25">
      <c r="A189" s="226"/>
      <c r="B189" s="226"/>
      <c r="C189" s="226"/>
      <c r="D189" s="226"/>
      <c r="E189" s="226"/>
      <c r="F189" s="226"/>
      <c r="G189" s="226"/>
      <c r="H189" s="226"/>
      <c r="I189" s="226"/>
    </row>
    <row r="190" spans="1:9" ht="20.25">
      <c r="A190" s="226"/>
      <c r="B190" s="226"/>
      <c r="C190" s="226"/>
      <c r="D190" s="226"/>
      <c r="E190" s="226"/>
      <c r="F190" s="226"/>
      <c r="G190" s="226"/>
      <c r="H190" s="226"/>
      <c r="I190" s="226"/>
    </row>
    <row r="191" spans="1:9" ht="20.25">
      <c r="A191" s="226"/>
      <c r="B191" s="226"/>
      <c r="C191" s="226"/>
      <c r="D191" s="226"/>
      <c r="E191" s="226"/>
      <c r="F191" s="226"/>
      <c r="G191" s="226"/>
      <c r="H191" s="226"/>
      <c r="I191" s="226"/>
    </row>
    <row r="192" spans="1:9" ht="20.25">
      <c r="A192" s="226"/>
      <c r="B192" s="226"/>
      <c r="C192" s="226"/>
      <c r="D192" s="226"/>
      <c r="E192" s="226"/>
      <c r="F192" s="226"/>
      <c r="G192" s="226"/>
      <c r="H192" s="226"/>
      <c r="I192" s="226"/>
    </row>
    <row r="193" spans="1:9" ht="20.25">
      <c r="A193" s="226"/>
      <c r="B193" s="226"/>
      <c r="C193" s="226"/>
      <c r="D193" s="226"/>
      <c r="E193" s="226"/>
      <c r="F193" s="226"/>
      <c r="G193" s="226"/>
      <c r="H193" s="226"/>
      <c r="I193" s="226"/>
    </row>
    <row r="194" spans="1:9" ht="20.25">
      <c r="A194" s="226"/>
      <c r="B194" s="226"/>
      <c r="C194" s="226"/>
      <c r="D194" s="226"/>
      <c r="E194" s="226"/>
      <c r="F194" s="226"/>
      <c r="G194" s="226"/>
      <c r="H194" s="226"/>
      <c r="I194" s="226"/>
    </row>
    <row r="195" spans="1:9" ht="20.25">
      <c r="A195" s="226"/>
      <c r="B195" s="226"/>
      <c r="C195" s="226"/>
      <c r="D195" s="226"/>
      <c r="E195" s="226"/>
      <c r="F195" s="226"/>
      <c r="G195" s="226"/>
      <c r="H195" s="226"/>
      <c r="I195" s="226"/>
    </row>
    <row r="196" spans="1:9" ht="20.25">
      <c r="A196" s="226"/>
      <c r="B196" s="226"/>
      <c r="C196" s="226"/>
      <c r="D196" s="226"/>
      <c r="E196" s="226"/>
      <c r="F196" s="226"/>
      <c r="G196" s="226"/>
      <c r="H196" s="226"/>
      <c r="I196" s="226"/>
    </row>
    <row r="197" spans="1:9" ht="20.25">
      <c r="A197" s="226"/>
      <c r="B197" s="226"/>
      <c r="C197" s="226"/>
      <c r="D197" s="226"/>
      <c r="E197" s="226"/>
      <c r="F197" s="226"/>
      <c r="G197" s="226"/>
      <c r="H197" s="226"/>
      <c r="I197" s="226"/>
    </row>
    <row r="198" spans="1:9" ht="20.25">
      <c r="A198" s="226"/>
      <c r="B198" s="226"/>
      <c r="C198" s="226"/>
      <c r="D198" s="226"/>
      <c r="E198" s="226"/>
      <c r="F198" s="226"/>
      <c r="G198" s="226"/>
      <c r="H198" s="226"/>
      <c r="I198" s="226"/>
    </row>
    <row r="199" spans="1:9" ht="20.25">
      <c r="A199" s="226"/>
      <c r="B199" s="226"/>
      <c r="C199" s="226"/>
      <c r="D199" s="226"/>
      <c r="E199" s="226"/>
      <c r="F199" s="226"/>
      <c r="G199" s="226"/>
      <c r="H199" s="226"/>
      <c r="I199" s="226"/>
    </row>
    <row r="200" spans="1:9" ht="20.25">
      <c r="A200" s="226"/>
      <c r="B200" s="226"/>
      <c r="C200" s="226"/>
      <c r="D200" s="226"/>
      <c r="E200" s="226"/>
      <c r="F200" s="226"/>
      <c r="G200" s="226"/>
      <c r="H200" s="226"/>
      <c r="I200" s="226"/>
    </row>
    <row r="201" spans="1:9" ht="20.25">
      <c r="A201" s="226"/>
      <c r="B201" s="226"/>
      <c r="C201" s="226"/>
      <c r="D201" s="226"/>
      <c r="E201" s="226"/>
      <c r="F201" s="226"/>
      <c r="G201" s="226"/>
      <c r="H201" s="226"/>
      <c r="I201" s="226"/>
    </row>
    <row r="202" spans="1:9" ht="20.25">
      <c r="A202" s="226"/>
      <c r="B202" s="226"/>
      <c r="C202" s="226"/>
      <c r="D202" s="226"/>
      <c r="E202" s="226"/>
      <c r="F202" s="226"/>
      <c r="G202" s="226"/>
      <c r="H202" s="226"/>
      <c r="I202" s="226"/>
    </row>
    <row r="203" spans="1:9" ht="20.25">
      <c r="A203" s="226"/>
      <c r="B203" s="226"/>
      <c r="C203" s="226"/>
      <c r="D203" s="226"/>
      <c r="E203" s="226"/>
      <c r="F203" s="226"/>
      <c r="G203" s="226"/>
      <c r="H203" s="226"/>
      <c r="I203" s="226"/>
    </row>
    <row r="204" spans="1:9" ht="20.25">
      <c r="A204" s="226"/>
      <c r="B204" s="226"/>
      <c r="C204" s="226"/>
      <c r="D204" s="226"/>
      <c r="E204" s="226"/>
      <c r="F204" s="226"/>
      <c r="G204" s="226"/>
      <c r="H204" s="226"/>
      <c r="I204" s="226"/>
    </row>
    <row r="205" spans="1:9" ht="20.25">
      <c r="A205" s="226"/>
      <c r="B205" s="226"/>
      <c r="C205" s="226"/>
      <c r="D205" s="226"/>
      <c r="E205" s="226"/>
      <c r="F205" s="226"/>
      <c r="G205" s="226"/>
      <c r="H205" s="226"/>
      <c r="I205" s="226"/>
    </row>
    <row r="206" spans="1:9" ht="20.25">
      <c r="A206" s="226"/>
      <c r="B206" s="226"/>
      <c r="C206" s="226"/>
      <c r="D206" s="226"/>
      <c r="E206" s="226"/>
      <c r="F206" s="226"/>
      <c r="G206" s="226"/>
      <c r="H206" s="226"/>
      <c r="I206" s="226"/>
    </row>
    <row r="207" spans="1:9" ht="20.25">
      <c r="A207" s="226"/>
      <c r="B207" s="226"/>
      <c r="C207" s="226"/>
      <c r="D207" s="226"/>
      <c r="E207" s="226"/>
      <c r="F207" s="226"/>
      <c r="G207" s="226"/>
      <c r="H207" s="226"/>
      <c r="I207" s="226"/>
    </row>
    <row r="208" spans="1:9" ht="20.25">
      <c r="A208" s="226"/>
      <c r="B208" s="226"/>
      <c r="C208" s="226"/>
      <c r="D208" s="226"/>
      <c r="E208" s="226"/>
      <c r="F208" s="226"/>
      <c r="G208" s="226"/>
      <c r="H208" s="226"/>
      <c r="I208" s="226"/>
    </row>
    <row r="209" spans="1:9" ht="20.25">
      <c r="A209" s="226"/>
      <c r="B209" s="226"/>
      <c r="C209" s="226"/>
      <c r="D209" s="226"/>
      <c r="E209" s="226"/>
      <c r="F209" s="226"/>
      <c r="G209" s="226"/>
      <c r="H209" s="226"/>
      <c r="I209" s="226"/>
    </row>
    <row r="210" spans="1:9" ht="20.25">
      <c r="A210" s="226"/>
      <c r="B210" s="226"/>
      <c r="C210" s="226"/>
      <c r="D210" s="226"/>
      <c r="E210" s="226"/>
      <c r="F210" s="226"/>
      <c r="G210" s="226"/>
      <c r="H210" s="226"/>
      <c r="I210" s="226"/>
    </row>
    <row r="211" spans="1:9" ht="20.25">
      <c r="A211" s="226"/>
      <c r="B211" s="226"/>
      <c r="C211" s="226"/>
      <c r="D211" s="226"/>
      <c r="E211" s="226"/>
      <c r="F211" s="226"/>
      <c r="G211" s="226"/>
      <c r="H211" s="226"/>
      <c r="I211" s="226"/>
    </row>
    <row r="212" spans="1:9" ht="20.25">
      <c r="A212" s="226"/>
      <c r="B212" s="226"/>
      <c r="C212" s="226"/>
      <c r="D212" s="226"/>
      <c r="E212" s="226"/>
      <c r="F212" s="226"/>
      <c r="G212" s="226"/>
      <c r="H212" s="226"/>
      <c r="I212" s="226"/>
    </row>
    <row r="213" spans="1:9" ht="20.25">
      <c r="A213" s="226"/>
      <c r="B213" s="226"/>
      <c r="C213" s="226"/>
      <c r="D213" s="226"/>
      <c r="E213" s="226"/>
      <c r="F213" s="226"/>
      <c r="G213" s="226"/>
      <c r="H213" s="226"/>
      <c r="I213" s="226"/>
    </row>
    <row r="214" spans="1:9" ht="20.25">
      <c r="A214" s="226"/>
      <c r="B214" s="226"/>
      <c r="C214" s="226"/>
      <c r="D214" s="226"/>
      <c r="E214" s="226"/>
      <c r="F214" s="226"/>
      <c r="G214" s="226"/>
      <c r="H214" s="226"/>
      <c r="I214" s="226"/>
    </row>
    <row r="215" spans="1:9" ht="20.25">
      <c r="A215" s="226"/>
      <c r="B215" s="226"/>
      <c r="C215" s="226"/>
      <c r="D215" s="226"/>
      <c r="E215" s="226"/>
      <c r="F215" s="226"/>
      <c r="G215" s="226"/>
      <c r="H215" s="226"/>
      <c r="I215" s="226"/>
    </row>
    <row r="216" spans="1:9" ht="20.25">
      <c r="A216" s="226"/>
      <c r="B216" s="226"/>
      <c r="C216" s="226"/>
      <c r="D216" s="226"/>
      <c r="E216" s="226"/>
      <c r="F216" s="226"/>
      <c r="G216" s="226"/>
      <c r="H216" s="226"/>
      <c r="I216" s="226"/>
    </row>
    <row r="217" spans="1:9" ht="20.25">
      <c r="A217" s="226"/>
      <c r="B217" s="226"/>
      <c r="C217" s="226"/>
      <c r="D217" s="226"/>
      <c r="E217" s="226"/>
      <c r="F217" s="226"/>
      <c r="G217" s="226"/>
      <c r="H217" s="226"/>
      <c r="I217" s="226"/>
    </row>
    <row r="218" spans="1:9" ht="20.25">
      <c r="A218" s="226"/>
      <c r="B218" s="226"/>
      <c r="C218" s="226"/>
      <c r="D218" s="226"/>
      <c r="E218" s="226"/>
      <c r="F218" s="226"/>
      <c r="G218" s="226"/>
      <c r="H218" s="226"/>
      <c r="I218" s="226"/>
    </row>
    <row r="219" spans="1:9" ht="20.25">
      <c r="A219" s="226"/>
      <c r="B219" s="226"/>
      <c r="C219" s="226"/>
      <c r="D219" s="226"/>
      <c r="E219" s="226"/>
      <c r="F219" s="226"/>
      <c r="G219" s="226"/>
      <c r="H219" s="226"/>
      <c r="I219" s="226"/>
    </row>
    <row r="220" spans="1:9" ht="20.25">
      <c r="A220" s="226"/>
      <c r="B220" s="226"/>
      <c r="C220" s="226"/>
      <c r="D220" s="226"/>
      <c r="E220" s="226"/>
      <c r="F220" s="226"/>
      <c r="G220" s="226"/>
      <c r="H220" s="226"/>
      <c r="I220" s="226"/>
    </row>
    <row r="221" spans="1:9" ht="20.25">
      <c r="A221" s="226"/>
      <c r="B221" s="226"/>
      <c r="C221" s="226"/>
      <c r="D221" s="226"/>
      <c r="E221" s="226"/>
      <c r="F221" s="226"/>
      <c r="G221" s="226"/>
      <c r="H221" s="226"/>
      <c r="I221" s="226"/>
    </row>
    <row r="222" spans="1:9" ht="20.25">
      <c r="A222" s="226"/>
      <c r="B222" s="226"/>
      <c r="C222" s="226"/>
      <c r="D222" s="226"/>
      <c r="E222" s="226"/>
      <c r="F222" s="226"/>
      <c r="G222" s="226"/>
      <c r="H222" s="226"/>
      <c r="I222" s="226"/>
    </row>
    <row r="223" spans="1:9" ht="20.25">
      <c r="A223" s="226"/>
      <c r="B223" s="226"/>
      <c r="C223" s="226"/>
      <c r="D223" s="226"/>
      <c r="E223" s="226"/>
      <c r="F223" s="226"/>
      <c r="G223" s="226"/>
      <c r="H223" s="226"/>
      <c r="I223" s="226"/>
    </row>
    <row r="224" spans="1:9" ht="20.25">
      <c r="A224" s="226"/>
      <c r="B224" s="226"/>
      <c r="C224" s="226"/>
      <c r="D224" s="226"/>
      <c r="E224" s="226"/>
      <c r="F224" s="226"/>
      <c r="G224" s="226"/>
      <c r="H224" s="226"/>
      <c r="I224" s="226"/>
    </row>
    <row r="225" spans="1:9" ht="20.25">
      <c r="A225" s="226"/>
      <c r="B225" s="226"/>
      <c r="C225" s="226"/>
      <c r="D225" s="226"/>
      <c r="E225" s="226"/>
      <c r="F225" s="226"/>
      <c r="G225" s="226"/>
      <c r="H225" s="226"/>
      <c r="I225" s="226"/>
    </row>
    <row r="226" spans="1:9" ht="20.25">
      <c r="A226" s="226"/>
      <c r="B226" s="226"/>
      <c r="C226" s="226"/>
      <c r="D226" s="226"/>
      <c r="E226" s="226"/>
      <c r="F226" s="226"/>
      <c r="G226" s="226"/>
      <c r="H226" s="226"/>
      <c r="I226" s="226"/>
    </row>
    <row r="227" spans="1:9" ht="20.25">
      <c r="A227" s="226"/>
      <c r="B227" s="226"/>
      <c r="C227" s="226"/>
      <c r="D227" s="226"/>
      <c r="E227" s="226"/>
      <c r="F227" s="226"/>
      <c r="G227" s="226"/>
      <c r="H227" s="226"/>
      <c r="I227" s="226"/>
    </row>
    <row r="228" spans="1:9" ht="20.25">
      <c r="A228" s="226"/>
      <c r="B228" s="226"/>
      <c r="C228" s="226"/>
      <c r="D228" s="226"/>
      <c r="E228" s="226"/>
      <c r="F228" s="226"/>
      <c r="G228" s="226"/>
      <c r="H228" s="226"/>
      <c r="I228" s="226"/>
    </row>
    <row r="229" spans="1:9" ht="20.25">
      <c r="A229" s="226"/>
      <c r="B229" s="226"/>
      <c r="C229" s="226"/>
      <c r="D229" s="226"/>
      <c r="E229" s="226"/>
      <c r="F229" s="226"/>
      <c r="G229" s="226"/>
      <c r="H229" s="226"/>
      <c r="I229" s="226"/>
    </row>
    <row r="230" spans="1:9" ht="20.25">
      <c r="A230" s="226"/>
      <c r="B230" s="226"/>
      <c r="C230" s="226"/>
      <c r="D230" s="226"/>
      <c r="E230" s="226"/>
      <c r="F230" s="226"/>
      <c r="G230" s="226"/>
      <c r="H230" s="226"/>
      <c r="I230" s="226"/>
    </row>
    <row r="231" spans="1:9" ht="20.25">
      <c r="A231" s="226"/>
      <c r="B231" s="226"/>
      <c r="C231" s="226"/>
      <c r="D231" s="226"/>
      <c r="E231" s="226"/>
      <c r="F231" s="226"/>
      <c r="G231" s="226"/>
      <c r="H231" s="226"/>
      <c r="I231" s="226"/>
    </row>
    <row r="232" spans="1:9" ht="20.25">
      <c r="A232" s="226"/>
      <c r="B232" s="226"/>
      <c r="C232" s="226"/>
      <c r="D232" s="226"/>
      <c r="E232" s="226"/>
      <c r="F232" s="226"/>
      <c r="G232" s="226"/>
      <c r="H232" s="226"/>
      <c r="I232" s="226"/>
    </row>
    <row r="233" spans="1:9" ht="20.25">
      <c r="A233" s="226"/>
      <c r="B233" s="226"/>
      <c r="C233" s="226"/>
      <c r="D233" s="226"/>
      <c r="E233" s="226"/>
      <c r="F233" s="226"/>
      <c r="G233" s="226"/>
      <c r="H233" s="226"/>
      <c r="I233" s="226"/>
    </row>
    <row r="234" spans="1:9" ht="20.25">
      <c r="A234" s="226"/>
      <c r="B234" s="226"/>
      <c r="C234" s="226"/>
      <c r="D234" s="226"/>
      <c r="E234" s="226"/>
      <c r="F234" s="226"/>
      <c r="G234" s="226"/>
      <c r="H234" s="226"/>
      <c r="I234" s="226"/>
    </row>
    <row r="235" spans="1:9" ht="20.25">
      <c r="A235" s="226"/>
      <c r="B235" s="226"/>
      <c r="C235" s="226"/>
      <c r="D235" s="226"/>
      <c r="E235" s="226"/>
      <c r="F235" s="226"/>
      <c r="G235" s="226"/>
      <c r="H235" s="226"/>
      <c r="I235" s="226"/>
    </row>
    <row r="236" spans="1:9" ht="20.25">
      <c r="A236" s="226"/>
      <c r="B236" s="226"/>
      <c r="C236" s="226"/>
      <c r="D236" s="226"/>
      <c r="E236" s="226"/>
      <c r="F236" s="226"/>
      <c r="G236" s="226"/>
      <c r="H236" s="226"/>
      <c r="I236" s="226"/>
    </row>
    <row r="237" spans="1:9" ht="20.25">
      <c r="A237" s="226"/>
      <c r="B237" s="226"/>
      <c r="C237" s="226"/>
      <c r="D237" s="226"/>
      <c r="E237" s="226"/>
      <c r="F237" s="226"/>
      <c r="G237" s="226"/>
      <c r="H237" s="226"/>
      <c r="I237" s="226"/>
    </row>
    <row r="238" spans="1:9" ht="20.25">
      <c r="A238" s="226"/>
      <c r="B238" s="226"/>
      <c r="C238" s="226"/>
      <c r="D238" s="226"/>
      <c r="E238" s="226"/>
      <c r="F238" s="226"/>
      <c r="G238" s="226"/>
      <c r="H238" s="226"/>
      <c r="I238" s="226"/>
    </row>
    <row r="239" spans="1:9" ht="20.25">
      <c r="A239" s="226"/>
      <c r="B239" s="226"/>
      <c r="C239" s="226"/>
      <c r="D239" s="226"/>
      <c r="E239" s="226"/>
      <c r="F239" s="226"/>
      <c r="G239" s="226"/>
      <c r="H239" s="226"/>
      <c r="I239" s="226"/>
    </row>
    <row r="240" spans="1:9" ht="20.25">
      <c r="A240" s="226"/>
      <c r="B240" s="226"/>
      <c r="C240" s="226"/>
      <c r="D240" s="226"/>
      <c r="E240" s="226"/>
      <c r="F240" s="226"/>
      <c r="G240" s="226"/>
      <c r="H240" s="226"/>
      <c r="I240" s="226"/>
    </row>
    <row r="241" spans="1:9" ht="20.25">
      <c r="A241" s="226"/>
      <c r="B241" s="226"/>
      <c r="C241" s="226"/>
      <c r="D241" s="226"/>
      <c r="E241" s="226"/>
      <c r="F241" s="226"/>
      <c r="G241" s="226"/>
      <c r="H241" s="226"/>
      <c r="I241" s="226"/>
    </row>
    <row r="242" spans="1:9" ht="20.25">
      <c r="A242" s="226"/>
      <c r="B242" s="226"/>
      <c r="C242" s="226"/>
      <c r="D242" s="226"/>
      <c r="E242" s="226"/>
      <c r="F242" s="226"/>
      <c r="G242" s="226"/>
      <c r="H242" s="226"/>
      <c r="I242" s="226"/>
    </row>
    <row r="243" spans="1:9" ht="20.25">
      <c r="A243" s="226"/>
      <c r="B243" s="226"/>
      <c r="C243" s="226"/>
      <c r="D243" s="226"/>
      <c r="E243" s="226"/>
      <c r="F243" s="226"/>
      <c r="G243" s="226"/>
      <c r="H243" s="226"/>
      <c r="I243" s="226"/>
    </row>
    <row r="244" spans="1:9" ht="20.25">
      <c r="A244" s="226"/>
      <c r="B244" s="226"/>
      <c r="C244" s="226"/>
      <c r="D244" s="226"/>
      <c r="E244" s="226"/>
      <c r="F244" s="226"/>
      <c r="G244" s="226"/>
      <c r="H244" s="226"/>
      <c r="I244" s="226"/>
    </row>
    <row r="245" spans="1:9" ht="20.25">
      <c r="A245" s="226"/>
      <c r="B245" s="226"/>
      <c r="C245" s="226"/>
      <c r="D245" s="226"/>
      <c r="E245" s="226"/>
      <c r="F245" s="226"/>
      <c r="G245" s="226"/>
      <c r="H245" s="226"/>
      <c r="I245" s="226"/>
    </row>
    <row r="246" spans="1:9" ht="20.25">
      <c r="A246" s="226"/>
      <c r="B246" s="226"/>
      <c r="C246" s="226"/>
      <c r="D246" s="226"/>
      <c r="E246" s="226"/>
      <c r="F246" s="226"/>
      <c r="G246" s="226"/>
      <c r="H246" s="226"/>
      <c r="I246" s="226"/>
    </row>
    <row r="247" spans="1:9" ht="20.25">
      <c r="A247" s="226"/>
      <c r="B247" s="226"/>
      <c r="C247" s="226"/>
      <c r="D247" s="226"/>
      <c r="E247" s="226"/>
      <c r="F247" s="226"/>
      <c r="G247" s="226"/>
      <c r="H247" s="226"/>
      <c r="I247" s="226"/>
    </row>
    <row r="248" spans="1:9" ht="20.25">
      <c r="A248" s="226"/>
      <c r="B248" s="226"/>
      <c r="C248" s="226"/>
      <c r="D248" s="226"/>
      <c r="E248" s="226"/>
      <c r="F248" s="226"/>
      <c r="G248" s="226"/>
      <c r="H248" s="226"/>
      <c r="I248" s="226"/>
    </row>
    <row r="249" spans="1:9" ht="20.25">
      <c r="A249" s="226"/>
      <c r="B249" s="226"/>
      <c r="C249" s="226"/>
      <c r="D249" s="226"/>
      <c r="E249" s="226"/>
      <c r="F249" s="226"/>
      <c r="G249" s="226"/>
      <c r="H249" s="226"/>
      <c r="I249" s="226"/>
    </row>
    <row r="250" spans="1:9" ht="20.25">
      <c r="A250" s="226"/>
      <c r="B250" s="226"/>
      <c r="C250" s="226"/>
      <c r="D250" s="226"/>
      <c r="E250" s="226"/>
      <c r="F250" s="226"/>
      <c r="G250" s="226"/>
      <c r="H250" s="226"/>
      <c r="I250" s="226"/>
    </row>
    <row r="251" spans="1:9" ht="20.25">
      <c r="A251" s="226"/>
      <c r="B251" s="226"/>
      <c r="C251" s="226"/>
      <c r="D251" s="226"/>
      <c r="E251" s="226"/>
      <c r="F251" s="226"/>
      <c r="G251" s="226"/>
      <c r="H251" s="226"/>
      <c r="I251" s="226"/>
    </row>
    <row r="252" spans="1:9" ht="20.25">
      <c r="A252" s="226"/>
      <c r="B252" s="226"/>
      <c r="C252" s="226"/>
      <c r="D252" s="226"/>
      <c r="E252" s="226"/>
      <c r="F252" s="226"/>
      <c r="G252" s="226"/>
      <c r="H252" s="226"/>
      <c r="I252" s="226"/>
    </row>
    <row r="253" spans="1:9" ht="20.25">
      <c r="A253" s="226"/>
      <c r="B253" s="226"/>
      <c r="C253" s="226"/>
      <c r="D253" s="226"/>
      <c r="E253" s="226"/>
      <c r="F253" s="226"/>
      <c r="G253" s="226"/>
      <c r="H253" s="226"/>
      <c r="I253" s="226"/>
    </row>
    <row r="254" spans="1:9" ht="20.25">
      <c r="A254" s="226"/>
      <c r="B254" s="226"/>
      <c r="C254" s="226"/>
      <c r="D254" s="226"/>
      <c r="E254" s="226"/>
      <c r="F254" s="226"/>
      <c r="G254" s="226"/>
      <c r="H254" s="226"/>
      <c r="I254" s="226"/>
    </row>
    <row r="255" spans="1:9" ht="20.25">
      <c r="A255" s="226"/>
      <c r="B255" s="226"/>
      <c r="C255" s="226"/>
      <c r="D255" s="226"/>
      <c r="E255" s="226"/>
      <c r="F255" s="226"/>
      <c r="G255" s="226"/>
      <c r="H255" s="226"/>
      <c r="I255" s="226"/>
    </row>
    <row r="256" spans="1:9" ht="20.25">
      <c r="A256" s="226"/>
      <c r="B256" s="226"/>
      <c r="C256" s="226"/>
      <c r="D256" s="226"/>
      <c r="E256" s="226"/>
      <c r="F256" s="226"/>
      <c r="G256" s="226"/>
      <c r="H256" s="226"/>
      <c r="I256" s="226"/>
    </row>
    <row r="257" spans="1:9" ht="20.25">
      <c r="A257" s="226"/>
      <c r="B257" s="226"/>
      <c r="C257" s="226"/>
      <c r="D257" s="226"/>
      <c r="E257" s="226"/>
      <c r="F257" s="226"/>
      <c r="G257" s="226"/>
      <c r="H257" s="226"/>
      <c r="I257" s="226"/>
    </row>
    <row r="258" spans="1:9" ht="20.25">
      <c r="A258" s="226"/>
      <c r="B258" s="226"/>
      <c r="C258" s="226"/>
      <c r="D258" s="226"/>
      <c r="E258" s="226"/>
      <c r="F258" s="226"/>
      <c r="G258" s="226"/>
      <c r="H258" s="226"/>
      <c r="I258" s="226"/>
    </row>
    <row r="259" spans="1:9" ht="20.25">
      <c r="A259" s="226"/>
      <c r="B259" s="226"/>
      <c r="C259" s="226"/>
      <c r="D259" s="226"/>
      <c r="E259" s="226"/>
      <c r="F259" s="226"/>
      <c r="G259" s="226"/>
      <c r="H259" s="226"/>
      <c r="I259" s="226"/>
    </row>
    <row r="260" spans="1:9" ht="20.25">
      <c r="A260" s="226"/>
      <c r="B260" s="226"/>
      <c r="C260" s="226"/>
      <c r="D260" s="226"/>
      <c r="E260" s="226"/>
      <c r="F260" s="226"/>
      <c r="G260" s="226"/>
      <c r="H260" s="226"/>
      <c r="I260" s="226"/>
    </row>
    <row r="261" spans="1:9" ht="20.25">
      <c r="A261" s="226"/>
      <c r="B261" s="226"/>
      <c r="C261" s="226"/>
      <c r="D261" s="226"/>
      <c r="E261" s="226"/>
      <c r="F261" s="226"/>
      <c r="G261" s="226"/>
      <c r="H261" s="226"/>
      <c r="I261" s="226"/>
    </row>
    <row r="262" spans="1:9" ht="20.25">
      <c r="A262" s="226"/>
      <c r="B262" s="226"/>
      <c r="C262" s="226"/>
      <c r="D262" s="226"/>
      <c r="E262" s="226"/>
      <c r="F262" s="226"/>
      <c r="G262" s="226"/>
      <c r="H262" s="226"/>
      <c r="I262" s="226"/>
    </row>
    <row r="263" spans="1:9" ht="20.25">
      <c r="A263" s="226"/>
      <c r="B263" s="226"/>
      <c r="C263" s="226"/>
      <c r="D263" s="226"/>
      <c r="E263" s="226"/>
      <c r="F263" s="226"/>
      <c r="G263" s="226"/>
      <c r="H263" s="226"/>
      <c r="I263" s="226"/>
    </row>
    <row r="264" spans="1:9" ht="20.25">
      <c r="A264" s="226"/>
      <c r="B264" s="226"/>
      <c r="C264" s="226"/>
      <c r="D264" s="226"/>
      <c r="E264" s="226"/>
      <c r="F264" s="226"/>
      <c r="G264" s="226"/>
      <c r="H264" s="226"/>
      <c r="I264" s="226"/>
    </row>
    <row r="265" spans="1:9" ht="20.25">
      <c r="A265" s="226"/>
      <c r="B265" s="226"/>
      <c r="C265" s="226"/>
      <c r="D265" s="226"/>
      <c r="E265" s="226"/>
      <c r="F265" s="226"/>
      <c r="G265" s="226"/>
      <c r="H265" s="226"/>
      <c r="I265" s="226"/>
    </row>
    <row r="266" spans="1:9" ht="20.25">
      <c r="A266" s="226"/>
      <c r="B266" s="226"/>
      <c r="C266" s="226"/>
      <c r="D266" s="226"/>
      <c r="E266" s="226"/>
      <c r="F266" s="226"/>
      <c r="G266" s="226"/>
      <c r="H266" s="226"/>
      <c r="I266" s="226"/>
    </row>
    <row r="267" spans="1:9" ht="20.25">
      <c r="A267" s="226"/>
      <c r="B267" s="226"/>
      <c r="C267" s="226"/>
      <c r="D267" s="226"/>
      <c r="E267" s="226"/>
      <c r="F267" s="226"/>
      <c r="G267" s="226"/>
      <c r="H267" s="226"/>
      <c r="I267" s="226"/>
    </row>
    <row r="268" spans="1:9" ht="20.25">
      <c r="A268" s="226"/>
      <c r="B268" s="226"/>
      <c r="C268" s="226"/>
      <c r="D268" s="226"/>
      <c r="E268" s="226"/>
      <c r="F268" s="226"/>
      <c r="G268" s="226"/>
      <c r="H268" s="226"/>
      <c r="I268" s="226"/>
    </row>
    <row r="269" spans="1:9" ht="20.25">
      <c r="A269" s="226"/>
      <c r="B269" s="226"/>
      <c r="C269" s="226"/>
      <c r="D269" s="226"/>
      <c r="E269" s="226"/>
      <c r="F269" s="226"/>
      <c r="G269" s="226"/>
      <c r="H269" s="226"/>
      <c r="I269" s="226"/>
    </row>
    <row r="270" spans="1:9" ht="20.25">
      <c r="A270" s="226"/>
      <c r="B270" s="226"/>
      <c r="C270" s="226"/>
      <c r="D270" s="226"/>
      <c r="E270" s="226"/>
      <c r="F270" s="226"/>
      <c r="G270" s="226"/>
      <c r="H270" s="226"/>
      <c r="I270" s="226"/>
    </row>
    <row r="271" spans="1:9" ht="20.25">
      <c r="A271" s="226"/>
      <c r="B271" s="226"/>
      <c r="C271" s="226"/>
      <c r="D271" s="226"/>
      <c r="E271" s="226"/>
      <c r="F271" s="226"/>
      <c r="G271" s="226"/>
      <c r="H271" s="226"/>
      <c r="I271" s="226"/>
    </row>
    <row r="272" spans="1:9" ht="20.25">
      <c r="A272" s="226"/>
      <c r="B272" s="226"/>
      <c r="C272" s="226"/>
      <c r="D272" s="226"/>
      <c r="E272" s="226"/>
      <c r="F272" s="226"/>
      <c r="G272" s="226"/>
      <c r="H272" s="226"/>
      <c r="I272" s="226"/>
    </row>
    <row r="273" spans="1:9" ht="20.25">
      <c r="A273" s="226"/>
      <c r="B273" s="226"/>
      <c r="C273" s="226"/>
      <c r="D273" s="226"/>
      <c r="E273" s="226"/>
      <c r="F273" s="226"/>
      <c r="G273" s="226"/>
      <c r="H273" s="226"/>
      <c r="I273" s="226"/>
    </row>
    <row r="274" spans="1:9" ht="20.25">
      <c r="A274" s="226"/>
      <c r="B274" s="226"/>
      <c r="C274" s="226"/>
      <c r="D274" s="226"/>
      <c r="E274" s="226"/>
      <c r="F274" s="226"/>
      <c r="G274" s="226"/>
      <c r="H274" s="226"/>
      <c r="I274" s="226"/>
    </row>
    <row r="275" spans="1:9" ht="20.25">
      <c r="A275" s="226"/>
      <c r="B275" s="226"/>
      <c r="C275" s="226"/>
      <c r="D275" s="226"/>
      <c r="E275" s="226"/>
      <c r="F275" s="226"/>
      <c r="G275" s="226"/>
      <c r="H275" s="226"/>
      <c r="I275" s="226"/>
    </row>
    <row r="276" spans="1:9" ht="20.25">
      <c r="A276" s="226"/>
      <c r="B276" s="226"/>
      <c r="C276" s="226"/>
      <c r="D276" s="226"/>
      <c r="E276" s="226"/>
      <c r="F276" s="226"/>
      <c r="G276" s="226"/>
      <c r="H276" s="226"/>
      <c r="I276" s="226"/>
    </row>
    <row r="277" spans="1:9" ht="20.25">
      <c r="A277" s="226"/>
      <c r="B277" s="226"/>
      <c r="C277" s="226"/>
      <c r="D277" s="226"/>
      <c r="E277" s="226"/>
      <c r="F277" s="226"/>
      <c r="G277" s="226"/>
      <c r="H277" s="226"/>
      <c r="I277" s="226"/>
    </row>
    <row r="278" spans="1:9" ht="20.25">
      <c r="A278" s="226"/>
      <c r="B278" s="226"/>
      <c r="C278" s="226"/>
      <c r="D278" s="226"/>
      <c r="E278" s="226"/>
      <c r="F278" s="226"/>
      <c r="G278" s="226"/>
      <c r="H278" s="226"/>
      <c r="I278" s="226"/>
    </row>
    <row r="279" spans="1:9" ht="20.25">
      <c r="A279" s="226"/>
      <c r="B279" s="226"/>
      <c r="C279" s="226"/>
      <c r="D279" s="226"/>
      <c r="E279" s="226"/>
      <c r="F279" s="226"/>
      <c r="G279" s="226"/>
      <c r="H279" s="226"/>
      <c r="I279" s="226"/>
    </row>
    <row r="280" spans="1:9" ht="20.25">
      <c r="A280" s="226"/>
      <c r="B280" s="226"/>
      <c r="C280" s="226"/>
      <c r="D280" s="226"/>
      <c r="E280" s="226"/>
      <c r="F280" s="226"/>
      <c r="G280" s="226"/>
      <c r="H280" s="226"/>
      <c r="I280" s="226"/>
    </row>
    <row r="281" spans="1:9" ht="20.25">
      <c r="A281" s="226"/>
      <c r="B281" s="226"/>
      <c r="C281" s="226"/>
      <c r="D281" s="226"/>
      <c r="E281" s="226"/>
      <c r="F281" s="226"/>
      <c r="G281" s="226"/>
      <c r="H281" s="226"/>
      <c r="I281" s="226"/>
    </row>
    <row r="282" spans="1:9" ht="20.25">
      <c r="A282" s="226"/>
      <c r="B282" s="226"/>
      <c r="C282" s="226"/>
      <c r="D282" s="226"/>
      <c r="E282" s="226"/>
      <c r="F282" s="226"/>
      <c r="G282" s="226"/>
      <c r="H282" s="226"/>
      <c r="I282" s="226"/>
    </row>
    <row r="283" spans="1:9" ht="20.25">
      <c r="A283" s="226"/>
      <c r="B283" s="226"/>
      <c r="C283" s="226"/>
      <c r="D283" s="226"/>
      <c r="E283" s="226"/>
      <c r="F283" s="226"/>
      <c r="G283" s="226"/>
      <c r="H283" s="226"/>
      <c r="I283" s="226"/>
    </row>
    <row r="284" spans="1:9" ht="20.25">
      <c r="A284" s="226"/>
      <c r="B284" s="226"/>
      <c r="C284" s="226"/>
      <c r="D284" s="226"/>
      <c r="E284" s="226"/>
      <c r="F284" s="226"/>
      <c r="G284" s="226"/>
      <c r="H284" s="226"/>
      <c r="I284" s="226"/>
    </row>
    <row r="285" spans="1:9" ht="20.25">
      <c r="A285" s="226"/>
      <c r="B285" s="226"/>
      <c r="C285" s="226"/>
      <c r="D285" s="226"/>
      <c r="E285" s="226"/>
      <c r="F285" s="226"/>
      <c r="G285" s="226"/>
      <c r="H285" s="226"/>
      <c r="I285" s="226"/>
    </row>
    <row r="286" spans="1:9" ht="20.25">
      <c r="A286" s="226"/>
      <c r="B286" s="226"/>
      <c r="C286" s="226"/>
      <c r="D286" s="226"/>
      <c r="E286" s="226"/>
      <c r="F286" s="226"/>
      <c r="G286" s="226"/>
      <c r="H286" s="226"/>
      <c r="I286" s="226"/>
    </row>
    <row r="287" spans="1:9" ht="20.25">
      <c r="A287" s="226"/>
      <c r="B287" s="226"/>
      <c r="C287" s="226"/>
      <c r="D287" s="226"/>
      <c r="E287" s="226"/>
      <c r="F287" s="226"/>
      <c r="G287" s="226"/>
      <c r="H287" s="226"/>
      <c r="I287" s="226"/>
    </row>
    <row r="288" spans="1:9" ht="20.25">
      <c r="A288" s="226"/>
      <c r="B288" s="226"/>
      <c r="C288" s="226"/>
      <c r="D288" s="226"/>
      <c r="E288" s="226"/>
      <c r="F288" s="226"/>
      <c r="G288" s="226"/>
      <c r="H288" s="226"/>
      <c r="I288" s="226"/>
    </row>
    <row r="289" spans="1:9" ht="20.25">
      <c r="A289" s="226"/>
      <c r="B289" s="226"/>
      <c r="C289" s="226"/>
      <c r="D289" s="226"/>
      <c r="E289" s="226"/>
      <c r="F289" s="226"/>
      <c r="G289" s="226"/>
      <c r="H289" s="226"/>
      <c r="I289" s="226"/>
    </row>
    <row r="290" spans="1:9" ht="20.25">
      <c r="A290" s="226"/>
      <c r="B290" s="226"/>
      <c r="C290" s="226"/>
      <c r="D290" s="226"/>
      <c r="E290" s="226"/>
      <c r="F290" s="226"/>
      <c r="G290" s="226"/>
      <c r="H290" s="226"/>
      <c r="I290" s="226"/>
    </row>
    <row r="291" spans="1:9" ht="20.25">
      <c r="A291" s="226"/>
      <c r="B291" s="226"/>
      <c r="C291" s="226"/>
      <c r="D291" s="226"/>
      <c r="E291" s="226"/>
      <c r="F291" s="226"/>
      <c r="G291" s="226"/>
      <c r="H291" s="226"/>
      <c r="I291" s="226"/>
    </row>
    <row r="292" spans="1:9" ht="20.25">
      <c r="A292" s="226"/>
      <c r="B292" s="226"/>
      <c r="C292" s="226"/>
      <c r="D292" s="226"/>
      <c r="E292" s="226"/>
      <c r="F292" s="226"/>
      <c r="G292" s="226"/>
      <c r="H292" s="226"/>
      <c r="I292" s="226"/>
    </row>
    <row r="293" spans="1:9" ht="20.25">
      <c r="A293" s="226"/>
      <c r="B293" s="226"/>
      <c r="C293" s="226"/>
      <c r="D293" s="226"/>
      <c r="E293" s="226"/>
      <c r="F293" s="226"/>
      <c r="G293" s="226"/>
      <c r="H293" s="226"/>
      <c r="I293" s="226"/>
    </row>
    <row r="294" spans="1:9" ht="20.25">
      <c r="A294" s="226"/>
      <c r="B294" s="226"/>
      <c r="C294" s="226"/>
      <c r="D294" s="226"/>
      <c r="E294" s="226"/>
      <c r="F294" s="226"/>
      <c r="G294" s="226"/>
      <c r="H294" s="226"/>
      <c r="I294" s="226"/>
    </row>
    <row r="295" spans="1:9" ht="20.25">
      <c r="A295" s="226"/>
      <c r="B295" s="226"/>
      <c r="C295" s="226"/>
      <c r="D295" s="226"/>
      <c r="E295" s="226"/>
      <c r="F295" s="226"/>
      <c r="G295" s="226"/>
      <c r="H295" s="226"/>
      <c r="I295" s="226"/>
    </row>
    <row r="296" spans="1:9" ht="20.25">
      <c r="A296" s="226"/>
      <c r="B296" s="226"/>
      <c r="C296" s="226"/>
      <c r="D296" s="226"/>
      <c r="E296" s="226"/>
      <c r="F296" s="226"/>
      <c r="G296" s="226"/>
      <c r="H296" s="226"/>
      <c r="I296" s="226"/>
    </row>
    <row r="297" spans="1:9" ht="20.25">
      <c r="A297" s="226"/>
      <c r="B297" s="226"/>
      <c r="C297" s="226"/>
      <c r="D297" s="226"/>
      <c r="E297" s="226"/>
      <c r="F297" s="226"/>
      <c r="G297" s="226"/>
      <c r="H297" s="226"/>
      <c r="I297" s="226"/>
    </row>
    <row r="298" spans="1:9" ht="20.25">
      <c r="A298" s="226"/>
      <c r="B298" s="226"/>
      <c r="C298" s="226"/>
      <c r="D298" s="226"/>
      <c r="E298" s="226"/>
      <c r="F298" s="226"/>
      <c r="G298" s="226"/>
      <c r="H298" s="226"/>
      <c r="I298" s="226"/>
    </row>
    <row r="299" spans="1:9" ht="20.25">
      <c r="A299" s="226"/>
      <c r="B299" s="226"/>
      <c r="C299" s="226"/>
      <c r="D299" s="226"/>
      <c r="E299" s="226"/>
      <c r="F299" s="226"/>
      <c r="G299" s="226"/>
      <c r="H299" s="226"/>
      <c r="I299" s="226"/>
    </row>
    <row r="300" spans="1:9" ht="20.25">
      <c r="A300" s="226"/>
      <c r="B300" s="226"/>
      <c r="C300" s="226"/>
      <c r="D300" s="226"/>
      <c r="E300" s="226"/>
      <c r="F300" s="226"/>
      <c r="G300" s="226"/>
      <c r="H300" s="226"/>
      <c r="I300" s="226"/>
    </row>
    <row r="301" spans="1:9" ht="20.25">
      <c r="A301" s="226"/>
      <c r="B301" s="226"/>
      <c r="C301" s="226"/>
      <c r="D301" s="226"/>
      <c r="E301" s="226"/>
      <c r="F301" s="226"/>
      <c r="G301" s="226"/>
      <c r="H301" s="226"/>
      <c r="I301" s="226"/>
    </row>
    <row r="302" spans="1:9" ht="20.25">
      <c r="A302" s="226"/>
      <c r="B302" s="226"/>
      <c r="C302" s="226"/>
      <c r="D302" s="226"/>
      <c r="E302" s="226"/>
      <c r="F302" s="226"/>
      <c r="G302" s="226"/>
      <c r="H302" s="226"/>
      <c r="I302" s="226"/>
    </row>
    <row r="303" spans="1:9" ht="20.25">
      <c r="A303" s="226"/>
      <c r="B303" s="226"/>
      <c r="C303" s="226"/>
      <c r="D303" s="226"/>
      <c r="E303" s="226"/>
      <c r="F303" s="226"/>
      <c r="G303" s="226"/>
      <c r="H303" s="226"/>
      <c r="I303" s="226"/>
    </row>
    <row r="304" spans="1:9" ht="20.25">
      <c r="A304" s="226"/>
      <c r="B304" s="226"/>
      <c r="C304" s="226"/>
      <c r="D304" s="226"/>
      <c r="E304" s="226"/>
      <c r="F304" s="226"/>
      <c r="G304" s="226"/>
      <c r="H304" s="226"/>
      <c r="I304" s="226"/>
    </row>
    <row r="305" spans="1:9" ht="20.25">
      <c r="A305" s="226"/>
      <c r="B305" s="226"/>
      <c r="C305" s="226"/>
      <c r="D305" s="226"/>
      <c r="E305" s="226"/>
      <c r="F305" s="226"/>
      <c r="G305" s="226"/>
      <c r="H305" s="226"/>
      <c r="I305" s="226"/>
    </row>
    <row r="306" spans="1:9" ht="20.25">
      <c r="A306" s="226"/>
      <c r="B306" s="226"/>
      <c r="C306" s="226"/>
      <c r="D306" s="226"/>
      <c r="E306" s="226"/>
      <c r="F306" s="226"/>
      <c r="G306" s="226"/>
      <c r="H306" s="226"/>
      <c r="I306" s="226"/>
    </row>
    <row r="307" spans="1:9" ht="20.25">
      <c r="A307" s="226"/>
      <c r="B307" s="226"/>
      <c r="C307" s="226"/>
      <c r="D307" s="226"/>
      <c r="E307" s="226"/>
      <c r="F307" s="226"/>
      <c r="G307" s="226"/>
      <c r="H307" s="226"/>
      <c r="I307" s="226"/>
    </row>
    <row r="308" spans="1:9" ht="20.25">
      <c r="A308" s="226"/>
      <c r="B308" s="226"/>
      <c r="C308" s="226"/>
      <c r="D308" s="226"/>
      <c r="E308" s="226"/>
      <c r="F308" s="226"/>
      <c r="G308" s="226"/>
      <c r="H308" s="226"/>
      <c r="I308" s="226"/>
    </row>
    <row r="309" spans="1:9" ht="20.25">
      <c r="A309" s="226"/>
      <c r="B309" s="226"/>
      <c r="C309" s="226"/>
      <c r="D309" s="226"/>
      <c r="E309" s="226"/>
      <c r="F309" s="226"/>
      <c r="G309" s="226"/>
      <c r="H309" s="226"/>
      <c r="I309" s="226"/>
    </row>
    <row r="310" spans="1:9" ht="20.25">
      <c r="A310" s="226"/>
      <c r="B310" s="226"/>
      <c r="C310" s="226"/>
      <c r="D310" s="226"/>
      <c r="E310" s="226"/>
      <c r="F310" s="226"/>
      <c r="G310" s="226"/>
      <c r="H310" s="226"/>
      <c r="I310" s="226"/>
    </row>
    <row r="311" spans="1:9" ht="20.25">
      <c r="A311" s="226"/>
      <c r="B311" s="226"/>
      <c r="C311" s="226"/>
      <c r="D311" s="226"/>
      <c r="E311" s="226"/>
      <c r="F311" s="226"/>
      <c r="G311" s="226"/>
      <c r="H311" s="226"/>
      <c r="I311" s="226"/>
    </row>
    <row r="312" spans="1:9" ht="20.25">
      <c r="A312" s="226"/>
      <c r="B312" s="226"/>
      <c r="C312" s="226"/>
      <c r="D312" s="226"/>
      <c r="E312" s="226"/>
      <c r="F312" s="226"/>
      <c r="G312" s="226"/>
      <c r="H312" s="226"/>
      <c r="I312" s="226"/>
    </row>
    <row r="313" spans="1:9" ht="20.25">
      <c r="A313" s="226"/>
      <c r="B313" s="226"/>
      <c r="C313" s="226"/>
      <c r="D313" s="226"/>
      <c r="E313" s="226"/>
      <c r="F313" s="226"/>
      <c r="G313" s="226"/>
      <c r="H313" s="226"/>
      <c r="I313" s="226"/>
    </row>
    <row r="314" spans="1:9" ht="20.25">
      <c r="A314" s="226"/>
      <c r="B314" s="226"/>
      <c r="C314" s="226"/>
      <c r="D314" s="226"/>
      <c r="E314" s="226"/>
      <c r="F314" s="226"/>
      <c r="G314" s="226"/>
      <c r="H314" s="226"/>
      <c r="I314" s="226"/>
    </row>
    <row r="315" spans="1:9" ht="20.25">
      <c r="A315" s="226"/>
      <c r="B315" s="226"/>
      <c r="C315" s="226"/>
      <c r="D315" s="226"/>
      <c r="E315" s="226"/>
      <c r="F315" s="226"/>
      <c r="G315" s="226"/>
      <c r="H315" s="226"/>
      <c r="I315" s="226"/>
    </row>
    <row r="316" spans="1:9" ht="20.25">
      <c r="A316" s="226"/>
      <c r="B316" s="226"/>
      <c r="C316" s="226"/>
      <c r="D316" s="226"/>
      <c r="E316" s="226"/>
      <c r="F316" s="226"/>
      <c r="G316" s="226"/>
      <c r="H316" s="226"/>
      <c r="I316" s="226"/>
    </row>
    <row r="317" spans="1:9" ht="20.25">
      <c r="A317" s="226"/>
      <c r="B317" s="226"/>
      <c r="C317" s="226"/>
      <c r="D317" s="226"/>
      <c r="E317" s="226"/>
      <c r="F317" s="226"/>
      <c r="G317" s="226"/>
      <c r="H317" s="226"/>
      <c r="I317" s="226"/>
    </row>
    <row r="318" spans="1:9" ht="20.25">
      <c r="A318" s="226"/>
      <c r="B318" s="226"/>
      <c r="C318" s="226"/>
      <c r="D318" s="226"/>
      <c r="E318" s="226"/>
      <c r="F318" s="226"/>
      <c r="G318" s="226"/>
      <c r="H318" s="226"/>
      <c r="I318" s="226"/>
    </row>
    <row r="319" spans="1:9" ht="20.25">
      <c r="A319" s="226"/>
      <c r="B319" s="226"/>
      <c r="C319" s="226"/>
      <c r="D319" s="226"/>
      <c r="E319" s="226"/>
      <c r="F319" s="226"/>
      <c r="G319" s="226"/>
      <c r="H319" s="226"/>
      <c r="I319" s="226"/>
    </row>
    <row r="320" spans="1:9" ht="20.25">
      <c r="A320" s="226"/>
      <c r="B320" s="226"/>
      <c r="C320" s="226"/>
      <c r="D320" s="226"/>
      <c r="E320" s="226"/>
      <c r="F320" s="226"/>
      <c r="G320" s="226"/>
      <c r="H320" s="226"/>
      <c r="I320" s="226"/>
    </row>
    <row r="321" spans="1:9" ht="20.25">
      <c r="A321" s="226"/>
      <c r="B321" s="226"/>
      <c r="C321" s="226"/>
      <c r="D321" s="226"/>
      <c r="E321" s="226"/>
      <c r="F321" s="226"/>
      <c r="G321" s="226"/>
      <c r="H321" s="226"/>
      <c r="I321" s="226"/>
    </row>
    <row r="322" spans="1:9" ht="20.25">
      <c r="A322" s="226"/>
      <c r="B322" s="226"/>
      <c r="C322" s="226"/>
      <c r="D322" s="226"/>
      <c r="E322" s="226"/>
      <c r="F322" s="226"/>
      <c r="G322" s="226"/>
      <c r="H322" s="226"/>
      <c r="I322" s="226"/>
    </row>
    <row r="323" spans="1:9" ht="20.25">
      <c r="A323" s="226"/>
      <c r="B323" s="226"/>
      <c r="C323" s="226"/>
      <c r="D323" s="226"/>
      <c r="E323" s="226"/>
      <c r="F323" s="226"/>
      <c r="G323" s="226"/>
      <c r="H323" s="226"/>
      <c r="I323" s="226"/>
    </row>
    <row r="324" spans="1:9" ht="20.25">
      <c r="A324" s="226"/>
      <c r="B324" s="226"/>
      <c r="C324" s="226"/>
      <c r="D324" s="226"/>
      <c r="E324" s="226"/>
      <c r="F324" s="226"/>
      <c r="G324" s="226"/>
      <c r="H324" s="226"/>
      <c r="I324" s="226"/>
    </row>
    <row r="325" spans="1:9" ht="20.25">
      <c r="A325" s="226"/>
      <c r="B325" s="226"/>
      <c r="C325" s="226"/>
      <c r="D325" s="226"/>
      <c r="E325" s="226"/>
      <c r="F325" s="226"/>
      <c r="G325" s="226"/>
      <c r="H325" s="226"/>
      <c r="I325" s="226"/>
    </row>
    <row r="326" spans="1:9" ht="20.25">
      <c r="A326" s="226"/>
      <c r="B326" s="226"/>
      <c r="C326" s="226"/>
      <c r="D326" s="226"/>
      <c r="E326" s="226"/>
      <c r="F326" s="226"/>
      <c r="G326" s="226"/>
      <c r="H326" s="226"/>
      <c r="I326" s="226"/>
    </row>
    <row r="327" spans="1:9" ht="20.25">
      <c r="A327" s="226"/>
      <c r="B327" s="226"/>
      <c r="C327" s="226"/>
      <c r="D327" s="226"/>
      <c r="E327" s="226"/>
      <c r="F327" s="226"/>
      <c r="G327" s="226"/>
      <c r="H327" s="226"/>
      <c r="I327" s="226"/>
    </row>
    <row r="328" spans="1:9" ht="20.25">
      <c r="A328" s="226"/>
      <c r="B328" s="226"/>
      <c r="C328" s="226"/>
      <c r="D328" s="226"/>
      <c r="E328" s="226"/>
      <c r="F328" s="226"/>
      <c r="G328" s="226"/>
      <c r="H328" s="226"/>
      <c r="I328" s="226"/>
    </row>
    <row r="329" spans="1:9" ht="20.25">
      <c r="A329" s="226"/>
      <c r="B329" s="226"/>
      <c r="C329" s="226"/>
      <c r="D329" s="226"/>
      <c r="E329" s="226"/>
      <c r="F329" s="226"/>
      <c r="G329" s="226"/>
      <c r="H329" s="226"/>
      <c r="I329" s="226"/>
    </row>
    <row r="330" spans="1:9" ht="20.25">
      <c r="A330" s="226"/>
      <c r="B330" s="226"/>
      <c r="C330" s="226"/>
      <c r="D330" s="226"/>
      <c r="E330" s="226"/>
      <c r="F330" s="226"/>
      <c r="G330" s="226"/>
      <c r="H330" s="226"/>
      <c r="I330" s="226"/>
    </row>
    <row r="331" spans="1:9" ht="20.25">
      <c r="A331" s="226"/>
      <c r="B331" s="226"/>
      <c r="C331" s="226"/>
      <c r="D331" s="226"/>
      <c r="E331" s="226"/>
      <c r="F331" s="226"/>
      <c r="G331" s="226"/>
      <c r="H331" s="226"/>
      <c r="I331" s="226"/>
    </row>
    <row r="332" spans="1:9" ht="20.25">
      <c r="A332" s="226"/>
      <c r="B332" s="226"/>
      <c r="C332" s="226"/>
      <c r="D332" s="226"/>
      <c r="E332" s="226"/>
      <c r="F332" s="226"/>
      <c r="G332" s="226"/>
      <c r="H332" s="226"/>
      <c r="I332" s="226"/>
    </row>
    <row r="333" spans="1:9" ht="20.25">
      <c r="A333" s="226"/>
      <c r="B333" s="226"/>
      <c r="C333" s="226"/>
      <c r="D333" s="226"/>
      <c r="E333" s="226"/>
      <c r="F333" s="226"/>
      <c r="G333" s="226"/>
      <c r="H333" s="226"/>
      <c r="I333" s="226"/>
    </row>
    <row r="334" spans="1:9" ht="20.25">
      <c r="A334" s="226"/>
      <c r="B334" s="226"/>
      <c r="C334" s="226"/>
      <c r="D334" s="226"/>
      <c r="E334" s="226"/>
      <c r="F334" s="226"/>
      <c r="G334" s="226"/>
      <c r="H334" s="226"/>
      <c r="I334" s="226"/>
    </row>
    <row r="335" spans="1:9" ht="20.25">
      <c r="A335" s="226"/>
      <c r="B335" s="226"/>
      <c r="C335" s="226"/>
      <c r="D335" s="226"/>
      <c r="E335" s="226"/>
      <c r="F335" s="226"/>
      <c r="G335" s="226"/>
      <c r="H335" s="226"/>
      <c r="I335" s="226"/>
    </row>
    <row r="336" spans="1:9" ht="20.25">
      <c r="A336" s="226"/>
      <c r="B336" s="226"/>
      <c r="C336" s="226"/>
      <c r="D336" s="226"/>
      <c r="E336" s="226"/>
      <c r="F336" s="226"/>
      <c r="G336" s="226"/>
      <c r="H336" s="226"/>
      <c r="I336" s="226"/>
    </row>
    <row r="337" spans="1:9" ht="20.25">
      <c r="A337" s="226"/>
      <c r="B337" s="226"/>
      <c r="C337" s="226"/>
      <c r="D337" s="226"/>
      <c r="E337" s="226"/>
      <c r="F337" s="226"/>
      <c r="G337" s="226"/>
      <c r="H337" s="226"/>
      <c r="I337" s="226"/>
    </row>
    <row r="338" spans="1:9" ht="20.25">
      <c r="A338" s="226"/>
      <c r="B338" s="226"/>
      <c r="C338" s="226"/>
      <c r="D338" s="226"/>
      <c r="E338" s="226"/>
      <c r="F338" s="226"/>
      <c r="G338" s="226"/>
      <c r="H338" s="226"/>
      <c r="I338" s="226"/>
    </row>
    <row r="339" spans="1:9" ht="20.25">
      <c r="A339" s="226"/>
      <c r="B339" s="226"/>
      <c r="C339" s="226"/>
      <c r="D339" s="226"/>
      <c r="E339" s="226"/>
      <c r="F339" s="226"/>
      <c r="G339" s="226"/>
      <c r="H339" s="226"/>
      <c r="I339" s="226"/>
    </row>
    <row r="340" spans="1:9" ht="20.25">
      <c r="A340" s="226"/>
      <c r="B340" s="226"/>
      <c r="C340" s="226"/>
      <c r="D340" s="226"/>
      <c r="E340" s="226"/>
      <c r="F340" s="226"/>
      <c r="G340" s="226"/>
      <c r="H340" s="226"/>
      <c r="I340" s="226"/>
    </row>
    <row r="341" spans="1:9" ht="20.25">
      <c r="A341" s="226"/>
      <c r="B341" s="226"/>
      <c r="C341" s="226"/>
      <c r="D341" s="226"/>
      <c r="E341" s="226"/>
      <c r="F341" s="226"/>
      <c r="G341" s="226"/>
      <c r="H341" s="226"/>
      <c r="I341" s="226"/>
    </row>
    <row r="342" spans="1:9" ht="20.25">
      <c r="A342" s="226"/>
      <c r="B342" s="226"/>
      <c r="C342" s="226"/>
      <c r="D342" s="226"/>
      <c r="E342" s="226"/>
      <c r="F342" s="226"/>
      <c r="G342" s="226"/>
      <c r="H342" s="226"/>
      <c r="I342" s="226"/>
    </row>
    <row r="343" spans="1:9" ht="20.25">
      <c r="A343" s="226"/>
      <c r="B343" s="226"/>
      <c r="C343" s="226"/>
      <c r="D343" s="226"/>
      <c r="E343" s="226"/>
      <c r="F343" s="226"/>
      <c r="G343" s="226"/>
      <c r="H343" s="226"/>
      <c r="I343" s="226"/>
    </row>
    <row r="344" spans="1:9" ht="20.25">
      <c r="A344" s="226"/>
      <c r="B344" s="226"/>
      <c r="C344" s="226"/>
      <c r="D344" s="226"/>
      <c r="E344" s="226"/>
      <c r="F344" s="226"/>
      <c r="G344" s="226"/>
      <c r="H344" s="226"/>
      <c r="I344" s="226"/>
    </row>
    <row r="345" spans="1:9" ht="20.25">
      <c r="A345" s="226"/>
      <c r="B345" s="226"/>
      <c r="C345" s="226"/>
      <c r="D345" s="226"/>
      <c r="E345" s="226"/>
      <c r="F345" s="226"/>
      <c r="G345" s="226"/>
      <c r="H345" s="226"/>
      <c r="I345" s="226"/>
    </row>
    <row r="346" spans="1:9" ht="20.25">
      <c r="A346" s="226"/>
      <c r="B346" s="226"/>
      <c r="C346" s="226"/>
      <c r="D346" s="226"/>
      <c r="E346" s="226"/>
      <c r="F346" s="226"/>
      <c r="G346" s="226"/>
      <c r="H346" s="226"/>
      <c r="I346" s="226"/>
    </row>
    <row r="347" spans="1:9" ht="20.25">
      <c r="A347" s="226"/>
      <c r="B347" s="226"/>
      <c r="C347" s="226"/>
      <c r="D347" s="226"/>
      <c r="E347" s="226"/>
      <c r="F347" s="226"/>
      <c r="G347" s="226"/>
      <c r="H347" s="226"/>
      <c r="I347" s="226"/>
    </row>
    <row r="348" spans="1:9" ht="20.25">
      <c r="A348" s="226"/>
      <c r="B348" s="226"/>
      <c r="C348" s="226"/>
      <c r="D348" s="226"/>
      <c r="E348" s="226"/>
      <c r="F348" s="226"/>
      <c r="G348" s="226"/>
      <c r="H348" s="226"/>
      <c r="I348" s="226"/>
    </row>
    <row r="349" spans="1:9" ht="20.25">
      <c r="A349" s="226"/>
      <c r="B349" s="226"/>
      <c r="C349" s="226"/>
      <c r="D349" s="226"/>
      <c r="E349" s="226"/>
      <c r="F349" s="226"/>
      <c r="G349" s="226"/>
      <c r="H349" s="226"/>
      <c r="I349" s="226"/>
    </row>
    <row r="350" spans="1:9" ht="20.25">
      <c r="A350" s="226"/>
      <c r="B350" s="226"/>
      <c r="C350" s="226"/>
      <c r="D350" s="226"/>
      <c r="E350" s="226"/>
      <c r="F350" s="226"/>
      <c r="G350" s="226"/>
      <c r="H350" s="226"/>
      <c r="I350" s="226"/>
    </row>
    <row r="351" spans="1:9" ht="20.25">
      <c r="A351" s="226"/>
      <c r="B351" s="226"/>
      <c r="C351" s="226"/>
      <c r="D351" s="226"/>
      <c r="E351" s="226"/>
      <c r="F351" s="226"/>
      <c r="G351" s="226"/>
      <c r="H351" s="226"/>
      <c r="I351" s="226"/>
    </row>
    <row r="352" spans="1:9" ht="20.25">
      <c r="A352" s="226"/>
      <c r="B352" s="226"/>
      <c r="C352" s="226"/>
      <c r="D352" s="226"/>
      <c r="E352" s="226"/>
      <c r="F352" s="226"/>
      <c r="G352" s="226"/>
      <c r="H352" s="226"/>
      <c r="I352" s="226"/>
    </row>
    <row r="353" spans="1:9" ht="20.25">
      <c r="A353" s="226"/>
      <c r="B353" s="226"/>
      <c r="C353" s="226"/>
      <c r="D353" s="226"/>
      <c r="E353" s="226"/>
      <c r="F353" s="226"/>
      <c r="G353" s="226"/>
      <c r="H353" s="226"/>
      <c r="I353" s="226"/>
    </row>
    <row r="354" spans="1:9" ht="20.25">
      <c r="A354" s="226"/>
      <c r="B354" s="226"/>
      <c r="C354" s="226"/>
      <c r="D354" s="226"/>
      <c r="E354" s="226"/>
      <c r="F354" s="226"/>
      <c r="G354" s="226"/>
      <c r="H354" s="226"/>
      <c r="I354" s="226"/>
    </row>
    <row r="355" spans="1:9" ht="20.25">
      <c r="A355" s="226"/>
      <c r="B355" s="226"/>
      <c r="C355" s="226"/>
      <c r="D355" s="226"/>
      <c r="E355" s="226"/>
      <c r="F355" s="226"/>
      <c r="G355" s="226"/>
      <c r="H355" s="226"/>
      <c r="I355" s="226"/>
    </row>
    <row r="356" spans="1:9" ht="20.25">
      <c r="A356" s="226"/>
      <c r="B356" s="226"/>
      <c r="C356" s="226"/>
      <c r="D356" s="226"/>
      <c r="E356" s="226"/>
      <c r="F356" s="226"/>
      <c r="G356" s="226"/>
      <c r="H356" s="226"/>
      <c r="I356" s="226"/>
    </row>
    <row r="357" spans="1:9" ht="20.25">
      <c r="A357" s="226"/>
      <c r="B357" s="226"/>
      <c r="C357" s="226"/>
      <c r="D357" s="226"/>
      <c r="E357" s="226"/>
      <c r="F357" s="226"/>
      <c r="G357" s="226"/>
      <c r="H357" s="226"/>
      <c r="I357" s="226"/>
    </row>
    <row r="358" spans="1:9" ht="20.25">
      <c r="A358" s="226"/>
      <c r="B358" s="226"/>
      <c r="C358" s="226"/>
      <c r="D358" s="226"/>
      <c r="E358" s="226"/>
      <c r="F358" s="226"/>
      <c r="G358" s="226"/>
      <c r="H358" s="226"/>
      <c r="I358" s="226"/>
    </row>
    <row r="359" spans="1:9" ht="20.25">
      <c r="A359" s="226"/>
      <c r="B359" s="226"/>
      <c r="C359" s="226"/>
      <c r="D359" s="226"/>
      <c r="E359" s="226"/>
      <c r="F359" s="226"/>
      <c r="G359" s="226"/>
      <c r="H359" s="226"/>
      <c r="I359" s="226"/>
    </row>
    <row r="360" spans="1:9" ht="20.25">
      <c r="A360" s="226"/>
      <c r="B360" s="226"/>
      <c r="C360" s="226"/>
      <c r="D360" s="226"/>
      <c r="E360" s="226"/>
      <c r="F360" s="226"/>
      <c r="G360" s="226"/>
      <c r="H360" s="226"/>
      <c r="I360" s="226"/>
    </row>
    <row r="361" spans="1:9" ht="20.25">
      <c r="A361" s="226"/>
      <c r="B361" s="226"/>
      <c r="C361" s="226"/>
      <c r="D361" s="226"/>
      <c r="E361" s="226"/>
      <c r="F361" s="226"/>
      <c r="G361" s="226"/>
      <c r="H361" s="226"/>
      <c r="I361" s="226"/>
    </row>
    <row r="362" spans="1:9" ht="20.25">
      <c r="A362" s="226"/>
      <c r="B362" s="226"/>
      <c r="C362" s="226"/>
      <c r="D362" s="226"/>
      <c r="E362" s="226"/>
      <c r="F362" s="226"/>
      <c r="G362" s="226"/>
      <c r="H362" s="226"/>
      <c r="I362" s="226"/>
    </row>
    <row r="363" spans="1:9" ht="20.25">
      <c r="A363" s="226"/>
      <c r="B363" s="226"/>
      <c r="C363" s="226"/>
      <c r="D363" s="226"/>
      <c r="E363" s="226"/>
      <c r="F363" s="226"/>
      <c r="G363" s="226"/>
      <c r="H363" s="226"/>
      <c r="I363" s="226"/>
    </row>
    <row r="364" spans="1:9" ht="20.25">
      <c r="A364" s="226"/>
      <c r="B364" s="226"/>
      <c r="C364" s="226"/>
      <c r="D364" s="226"/>
      <c r="E364" s="226"/>
      <c r="F364" s="226"/>
      <c r="G364" s="226"/>
      <c r="H364" s="226"/>
      <c r="I364" s="226"/>
    </row>
    <row r="365" spans="1:9" ht="20.25">
      <c r="A365" s="226"/>
      <c r="B365" s="226"/>
      <c r="C365" s="226"/>
      <c r="D365" s="226"/>
      <c r="E365" s="226"/>
      <c r="F365" s="226"/>
      <c r="G365" s="226"/>
      <c r="H365" s="226"/>
      <c r="I365" s="226"/>
    </row>
    <row r="366" spans="1:9" ht="20.25">
      <c r="A366" s="226"/>
      <c r="B366" s="226"/>
      <c r="C366" s="226"/>
      <c r="D366" s="226"/>
      <c r="E366" s="226"/>
      <c r="F366" s="226"/>
      <c r="G366" s="226"/>
      <c r="H366" s="226"/>
      <c r="I366" s="226"/>
    </row>
    <row r="367" spans="1:9" ht="20.25">
      <c r="A367" s="226"/>
      <c r="B367" s="226"/>
      <c r="C367" s="226"/>
      <c r="D367" s="226"/>
      <c r="E367" s="226"/>
      <c r="F367" s="226"/>
      <c r="G367" s="226"/>
      <c r="H367" s="226"/>
      <c r="I367" s="226"/>
    </row>
    <row r="368" spans="1:9" ht="20.25">
      <c r="A368" s="226"/>
      <c r="B368" s="226"/>
      <c r="C368" s="226"/>
      <c r="D368" s="226"/>
      <c r="E368" s="226"/>
      <c r="F368" s="226"/>
      <c r="G368" s="226"/>
      <c r="H368" s="226"/>
      <c r="I368" s="226"/>
    </row>
    <row r="369" spans="1:9" ht="20.25">
      <c r="A369" s="226"/>
      <c r="B369" s="226"/>
      <c r="C369" s="226"/>
      <c r="D369" s="226"/>
      <c r="E369" s="226"/>
      <c r="F369" s="226"/>
      <c r="G369" s="226"/>
      <c r="H369" s="226"/>
      <c r="I369" s="226"/>
    </row>
    <row r="370" spans="1:9" ht="20.25">
      <c r="A370" s="226"/>
      <c r="B370" s="226"/>
      <c r="C370" s="226"/>
      <c r="D370" s="226"/>
      <c r="E370" s="226"/>
      <c r="F370" s="226"/>
      <c r="G370" s="226"/>
      <c r="H370" s="226"/>
      <c r="I370" s="226"/>
    </row>
    <row r="371" spans="1:9" ht="20.25">
      <c r="A371" s="226"/>
      <c r="B371" s="226"/>
      <c r="C371" s="226"/>
      <c r="D371" s="226"/>
      <c r="E371" s="226"/>
      <c r="F371" s="226"/>
      <c r="G371" s="226"/>
      <c r="H371" s="226"/>
      <c r="I371" s="226"/>
    </row>
    <row r="372" spans="1:9" ht="20.25">
      <c r="A372" s="226"/>
      <c r="B372" s="226"/>
      <c r="C372" s="226"/>
      <c r="D372" s="226"/>
      <c r="E372" s="226"/>
      <c r="F372" s="226"/>
      <c r="G372" s="226"/>
      <c r="H372" s="226"/>
      <c r="I372" s="226"/>
    </row>
    <row r="373" spans="1:9" ht="20.25">
      <c r="A373" s="226"/>
      <c r="B373" s="226"/>
      <c r="C373" s="226"/>
      <c r="D373" s="226"/>
      <c r="E373" s="226"/>
      <c r="F373" s="226"/>
      <c r="G373" s="226"/>
      <c r="H373" s="226"/>
      <c r="I373" s="226"/>
    </row>
    <row r="374" spans="1:9" ht="20.25">
      <c r="A374" s="226"/>
      <c r="B374" s="226"/>
      <c r="C374" s="226"/>
      <c r="D374" s="226"/>
      <c r="E374" s="226"/>
      <c r="F374" s="226"/>
      <c r="G374" s="226"/>
      <c r="H374" s="226"/>
      <c r="I374" s="226"/>
    </row>
    <row r="375" spans="1:9" ht="20.25">
      <c r="A375" s="226"/>
      <c r="B375" s="226"/>
      <c r="C375" s="226"/>
      <c r="D375" s="226"/>
      <c r="E375" s="226"/>
      <c r="F375" s="226"/>
      <c r="G375" s="226"/>
      <c r="H375" s="226"/>
      <c r="I375" s="226"/>
    </row>
    <row r="376" spans="1:9" ht="20.25">
      <c r="A376" s="226"/>
      <c r="B376" s="226"/>
      <c r="C376" s="226"/>
      <c r="D376" s="226"/>
      <c r="E376" s="226"/>
      <c r="F376" s="226"/>
      <c r="G376" s="226"/>
      <c r="H376" s="226"/>
      <c r="I376" s="226"/>
    </row>
    <row r="377" spans="1:9" ht="20.25">
      <c r="A377" s="226"/>
      <c r="B377" s="226"/>
      <c r="C377" s="226"/>
      <c r="D377" s="226"/>
      <c r="E377" s="226"/>
      <c r="F377" s="226"/>
      <c r="G377" s="226"/>
      <c r="H377" s="226"/>
      <c r="I377" s="226"/>
    </row>
    <row r="378" spans="1:9" ht="20.25">
      <c r="A378" s="226"/>
      <c r="B378" s="226"/>
      <c r="C378" s="226"/>
      <c r="D378" s="226"/>
      <c r="E378" s="226"/>
      <c r="F378" s="226"/>
      <c r="G378" s="226"/>
      <c r="H378" s="226"/>
      <c r="I378" s="226"/>
    </row>
    <row r="379" spans="1:9" ht="20.25">
      <c r="A379" s="226"/>
      <c r="B379" s="226"/>
      <c r="C379" s="226"/>
      <c r="D379" s="226"/>
      <c r="E379" s="226"/>
      <c r="F379" s="226"/>
      <c r="G379" s="226"/>
      <c r="H379" s="226"/>
      <c r="I379" s="226"/>
    </row>
    <row r="380" spans="1:9" ht="20.25">
      <c r="A380" s="226"/>
      <c r="B380" s="226"/>
      <c r="C380" s="226"/>
      <c r="D380" s="226"/>
      <c r="E380" s="226"/>
      <c r="F380" s="226"/>
      <c r="G380" s="226"/>
      <c r="H380" s="226"/>
      <c r="I380" s="226"/>
    </row>
    <row r="381" spans="1:9" ht="20.25">
      <c r="A381" s="226"/>
      <c r="B381" s="226"/>
      <c r="C381" s="226"/>
      <c r="D381" s="226"/>
      <c r="E381" s="226"/>
      <c r="F381" s="226"/>
      <c r="G381" s="226"/>
      <c r="H381" s="226"/>
      <c r="I381" s="226"/>
    </row>
    <row r="382" spans="1:9" ht="20.25">
      <c r="A382" s="226"/>
      <c r="B382" s="226"/>
      <c r="C382" s="226"/>
      <c r="D382" s="226"/>
      <c r="E382" s="226"/>
      <c r="F382" s="226"/>
      <c r="G382" s="226"/>
      <c r="H382" s="226"/>
      <c r="I382" s="226"/>
    </row>
    <row r="383" spans="1:9" ht="20.25">
      <c r="A383" s="226"/>
      <c r="B383" s="226"/>
      <c r="C383" s="226"/>
      <c r="D383" s="226"/>
      <c r="E383" s="226"/>
      <c r="F383" s="226"/>
      <c r="G383" s="226"/>
      <c r="H383" s="226"/>
      <c r="I383" s="226"/>
    </row>
    <row r="384" spans="1:9" ht="20.25">
      <c r="A384" s="226"/>
      <c r="B384" s="226"/>
      <c r="C384" s="226"/>
      <c r="D384" s="226"/>
      <c r="E384" s="226"/>
      <c r="F384" s="226"/>
      <c r="G384" s="226"/>
      <c r="H384" s="226"/>
      <c r="I384" s="226"/>
    </row>
    <row r="385" spans="1:9" ht="20.25">
      <c r="A385" s="226"/>
      <c r="B385" s="226"/>
      <c r="C385" s="226"/>
      <c r="D385" s="226"/>
      <c r="E385" s="226"/>
      <c r="F385" s="226"/>
      <c r="G385" s="226"/>
      <c r="H385" s="226"/>
      <c r="I385" s="226"/>
    </row>
    <row r="386" spans="1:9" ht="20.25">
      <c r="A386" s="226"/>
      <c r="B386" s="226"/>
      <c r="C386" s="226"/>
      <c r="D386" s="226"/>
      <c r="E386" s="226"/>
      <c r="F386" s="226"/>
      <c r="G386" s="226"/>
      <c r="H386" s="226"/>
      <c r="I386" s="226"/>
    </row>
    <row r="387" spans="1:9" ht="20.25">
      <c r="A387" s="226"/>
      <c r="B387" s="226"/>
      <c r="C387" s="226"/>
      <c r="D387" s="226"/>
      <c r="E387" s="226"/>
      <c r="F387" s="226"/>
      <c r="G387" s="226"/>
      <c r="H387" s="226"/>
      <c r="I387" s="226"/>
    </row>
    <row r="388" spans="1:9" ht="20.25">
      <c r="A388" s="226"/>
      <c r="B388" s="226"/>
      <c r="C388" s="226"/>
      <c r="D388" s="226"/>
      <c r="E388" s="226"/>
      <c r="F388" s="226"/>
      <c r="G388" s="226"/>
      <c r="H388" s="226"/>
      <c r="I388" s="226"/>
    </row>
    <row r="389" spans="1:9" ht="20.25">
      <c r="A389" s="226"/>
      <c r="B389" s="226"/>
      <c r="C389" s="226"/>
      <c r="D389" s="226"/>
      <c r="E389" s="226"/>
      <c r="F389" s="226"/>
      <c r="G389" s="226"/>
      <c r="H389" s="226"/>
      <c r="I389" s="226"/>
    </row>
    <row r="390" spans="1:9" ht="20.25">
      <c r="A390" s="226"/>
      <c r="B390" s="226"/>
      <c r="C390" s="226"/>
      <c r="D390" s="226"/>
      <c r="E390" s="226"/>
      <c r="F390" s="226"/>
      <c r="G390" s="226"/>
      <c r="H390" s="226"/>
      <c r="I390" s="226"/>
    </row>
    <row r="391" spans="1:9" ht="20.25">
      <c r="A391" s="226"/>
      <c r="B391" s="226"/>
      <c r="C391" s="226"/>
      <c r="D391" s="226"/>
      <c r="E391" s="226"/>
      <c r="F391" s="226"/>
      <c r="G391" s="226"/>
      <c r="H391" s="226"/>
      <c r="I391" s="226"/>
    </row>
    <row r="392" spans="1:9" ht="20.25">
      <c r="A392" s="226"/>
      <c r="B392" s="226"/>
      <c r="C392" s="226"/>
      <c r="D392" s="226"/>
      <c r="E392" s="226"/>
      <c r="F392" s="226"/>
      <c r="G392" s="226"/>
      <c r="H392" s="226"/>
      <c r="I392" s="226"/>
    </row>
    <row r="393" spans="1:9" ht="20.25">
      <c r="A393" s="226"/>
      <c r="B393" s="226"/>
      <c r="C393" s="226"/>
      <c r="D393" s="226"/>
      <c r="E393" s="226"/>
      <c r="F393" s="226"/>
      <c r="G393" s="226"/>
      <c r="H393" s="226"/>
      <c r="I393" s="226"/>
    </row>
    <row r="394" spans="1:9" ht="20.25">
      <c r="A394" s="226"/>
      <c r="B394" s="226"/>
      <c r="C394" s="226"/>
      <c r="D394" s="226"/>
      <c r="E394" s="226"/>
      <c r="F394" s="226"/>
      <c r="G394" s="226"/>
      <c r="H394" s="226"/>
      <c r="I394" s="226"/>
    </row>
    <row r="395" spans="1:9" ht="20.25">
      <c r="A395" s="226"/>
      <c r="B395" s="226"/>
      <c r="C395" s="226"/>
      <c r="D395" s="226"/>
      <c r="E395" s="226"/>
      <c r="F395" s="226"/>
      <c r="G395" s="226"/>
      <c r="H395" s="226"/>
      <c r="I395" s="226"/>
    </row>
    <row r="396" spans="1:9" ht="20.25">
      <c r="A396" s="226"/>
      <c r="B396" s="226"/>
      <c r="C396" s="226"/>
      <c r="D396" s="226"/>
      <c r="E396" s="226"/>
      <c r="F396" s="226"/>
      <c r="G396" s="226"/>
      <c r="H396" s="226"/>
      <c r="I396" s="226"/>
    </row>
    <row r="397" spans="1:9" ht="20.25">
      <c r="A397" s="226"/>
      <c r="B397" s="226"/>
      <c r="C397" s="226"/>
      <c r="D397" s="226"/>
      <c r="E397" s="226"/>
      <c r="F397" s="226"/>
      <c r="G397" s="226"/>
      <c r="H397" s="226"/>
      <c r="I397" s="226"/>
    </row>
    <row r="398" spans="1:9" ht="20.25">
      <c r="A398" s="226"/>
      <c r="B398" s="226"/>
      <c r="C398" s="226"/>
      <c r="D398" s="226"/>
      <c r="E398" s="226"/>
      <c r="F398" s="226"/>
      <c r="G398" s="226"/>
      <c r="H398" s="226"/>
      <c r="I398" s="226"/>
    </row>
    <row r="399" spans="1:9" ht="20.25">
      <c r="A399" s="226"/>
      <c r="B399" s="226"/>
      <c r="C399" s="226"/>
      <c r="D399" s="226"/>
      <c r="E399" s="226"/>
      <c r="F399" s="226"/>
      <c r="G399" s="226"/>
      <c r="H399" s="226"/>
      <c r="I399" s="226"/>
    </row>
    <row r="400" spans="1:9" ht="20.25">
      <c r="A400" s="226"/>
      <c r="B400" s="226"/>
      <c r="C400" s="226"/>
      <c r="D400" s="226"/>
      <c r="E400" s="226"/>
      <c r="F400" s="226"/>
      <c r="G400" s="226"/>
      <c r="H400" s="226"/>
      <c r="I400" s="226"/>
    </row>
    <row r="401" spans="1:9" ht="20.25">
      <c r="A401" s="226"/>
      <c r="B401" s="226"/>
      <c r="C401" s="226"/>
      <c r="D401" s="226"/>
      <c r="E401" s="226"/>
      <c r="F401" s="226"/>
      <c r="G401" s="226"/>
      <c r="H401" s="226"/>
      <c r="I401" s="226"/>
    </row>
    <row r="402" spans="1:9" ht="20.25">
      <c r="A402" s="226"/>
      <c r="B402" s="226"/>
      <c r="C402" s="226"/>
      <c r="D402" s="226"/>
      <c r="E402" s="226"/>
      <c r="F402" s="226"/>
      <c r="G402" s="226"/>
      <c r="H402" s="226"/>
      <c r="I402" s="226"/>
    </row>
    <row r="403" spans="1:9" ht="20.25">
      <c r="A403" s="226"/>
      <c r="B403" s="226"/>
      <c r="C403" s="226"/>
      <c r="D403" s="226"/>
      <c r="E403" s="226"/>
      <c r="F403" s="226"/>
      <c r="G403" s="226"/>
      <c r="H403" s="226"/>
      <c r="I403" s="226"/>
    </row>
    <row r="404" spans="1:9" ht="20.25">
      <c r="A404" s="226"/>
      <c r="B404" s="226"/>
      <c r="C404" s="226"/>
      <c r="D404" s="226"/>
      <c r="E404" s="226"/>
      <c r="F404" s="226"/>
      <c r="G404" s="226"/>
      <c r="H404" s="226"/>
      <c r="I404" s="226"/>
    </row>
    <row r="405" spans="1:9" ht="20.25">
      <c r="A405" s="226"/>
      <c r="B405" s="226"/>
      <c r="C405" s="226"/>
      <c r="D405" s="226"/>
      <c r="E405" s="226"/>
      <c r="F405" s="226"/>
      <c r="G405" s="226"/>
      <c r="H405" s="226"/>
      <c r="I405" s="226"/>
    </row>
    <row r="406" spans="1:9" ht="20.25">
      <c r="A406" s="226"/>
      <c r="B406" s="226"/>
      <c r="C406" s="226"/>
      <c r="D406" s="226"/>
      <c r="E406" s="226"/>
      <c r="F406" s="226"/>
      <c r="G406" s="226"/>
      <c r="H406" s="226"/>
      <c r="I406" s="226"/>
    </row>
    <row r="407" spans="1:9" ht="20.25">
      <c r="A407" s="226"/>
      <c r="B407" s="226"/>
      <c r="C407" s="226"/>
      <c r="D407" s="226"/>
      <c r="E407" s="226"/>
      <c r="F407" s="226"/>
      <c r="G407" s="226"/>
      <c r="H407" s="226"/>
      <c r="I407" s="226"/>
    </row>
    <row r="408" spans="1:9" ht="20.25">
      <c r="A408" s="226"/>
      <c r="B408" s="226"/>
      <c r="C408" s="226"/>
      <c r="D408" s="226"/>
      <c r="E408" s="226"/>
      <c r="F408" s="226"/>
      <c r="G408" s="226"/>
      <c r="H408" s="226"/>
      <c r="I408" s="226"/>
    </row>
    <row r="409" spans="1:9" ht="20.25">
      <c r="A409" s="226"/>
      <c r="B409" s="226"/>
      <c r="C409" s="226"/>
      <c r="D409" s="226"/>
      <c r="E409" s="226"/>
      <c r="F409" s="226"/>
      <c r="G409" s="226"/>
      <c r="H409" s="226"/>
      <c r="I409" s="226"/>
    </row>
    <row r="410" spans="1:9" ht="20.25">
      <c r="A410" s="226"/>
      <c r="B410" s="226"/>
      <c r="C410" s="226"/>
      <c r="D410" s="226"/>
      <c r="E410" s="226"/>
      <c r="F410" s="226"/>
      <c r="G410" s="226"/>
      <c r="H410" s="226"/>
      <c r="I410" s="226"/>
    </row>
    <row r="411" spans="1:9" ht="20.25">
      <c r="A411" s="226"/>
      <c r="B411" s="226"/>
      <c r="C411" s="226"/>
      <c r="D411" s="226"/>
      <c r="E411" s="226"/>
      <c r="F411" s="226"/>
      <c r="G411" s="226"/>
      <c r="H411" s="226"/>
      <c r="I411" s="226"/>
    </row>
    <row r="412" spans="1:9" ht="20.25">
      <c r="A412" s="226"/>
      <c r="B412" s="226"/>
      <c r="C412" s="226"/>
      <c r="D412" s="226"/>
      <c r="E412" s="226"/>
      <c r="F412" s="226"/>
      <c r="G412" s="226"/>
      <c r="H412" s="226"/>
      <c r="I412" s="226"/>
    </row>
    <row r="413" spans="1:9" ht="20.25">
      <c r="A413" s="226"/>
      <c r="B413" s="226"/>
      <c r="C413" s="226"/>
      <c r="D413" s="226"/>
      <c r="E413" s="226"/>
      <c r="F413" s="226"/>
      <c r="G413" s="226"/>
      <c r="H413" s="226"/>
      <c r="I413" s="226"/>
    </row>
    <row r="414" spans="1:9" ht="20.25">
      <c r="A414" s="226"/>
      <c r="B414" s="226"/>
      <c r="C414" s="226"/>
      <c r="D414" s="226"/>
      <c r="E414" s="226"/>
      <c r="F414" s="226"/>
      <c r="G414" s="226"/>
      <c r="H414" s="226"/>
      <c r="I414" s="226"/>
    </row>
    <row r="415" spans="1:9" ht="20.25">
      <c r="A415" s="226"/>
      <c r="B415" s="226"/>
      <c r="C415" s="226"/>
      <c r="D415" s="226"/>
      <c r="E415" s="226"/>
      <c r="F415" s="226"/>
      <c r="G415" s="226"/>
      <c r="H415" s="226"/>
      <c r="I415" s="226"/>
    </row>
    <row r="416" spans="1:9" ht="20.25">
      <c r="A416" s="226"/>
      <c r="B416" s="226"/>
      <c r="C416" s="226"/>
      <c r="D416" s="226"/>
      <c r="E416" s="226"/>
      <c r="F416" s="226"/>
      <c r="G416" s="226"/>
      <c r="H416" s="226"/>
      <c r="I416" s="226"/>
    </row>
    <row r="417" spans="1:9" ht="20.25">
      <c r="A417" s="226"/>
      <c r="B417" s="226"/>
      <c r="C417" s="226"/>
      <c r="D417" s="226"/>
      <c r="E417" s="226"/>
      <c r="F417" s="226"/>
      <c r="G417" s="226"/>
      <c r="H417" s="226"/>
      <c r="I417" s="226"/>
    </row>
    <row r="418" spans="1:9" ht="20.25">
      <c r="A418" s="226"/>
      <c r="B418" s="226"/>
      <c r="C418" s="226"/>
      <c r="D418" s="226"/>
      <c r="E418" s="226"/>
      <c r="F418" s="226"/>
      <c r="G418" s="226"/>
      <c r="H418" s="226"/>
      <c r="I418" s="226"/>
    </row>
    <row r="419" spans="1:9" ht="20.25">
      <c r="A419" s="226"/>
      <c r="B419" s="226"/>
      <c r="C419" s="226"/>
      <c r="D419" s="226"/>
      <c r="E419" s="226"/>
      <c r="F419" s="226"/>
      <c r="G419" s="226"/>
      <c r="H419" s="226"/>
      <c r="I419" s="226"/>
    </row>
    <row r="420" spans="1:9" ht="20.25">
      <c r="A420" s="226"/>
      <c r="B420" s="226"/>
      <c r="C420" s="226"/>
      <c r="D420" s="226"/>
      <c r="E420" s="226"/>
      <c r="F420" s="226"/>
      <c r="G420" s="226"/>
      <c r="H420" s="226"/>
      <c r="I420" s="226"/>
    </row>
    <row r="421" spans="1:9" ht="20.25">
      <c r="A421" s="226"/>
      <c r="B421" s="226"/>
      <c r="C421" s="226"/>
      <c r="D421" s="226"/>
      <c r="E421" s="226"/>
      <c r="F421" s="226"/>
      <c r="G421" s="226"/>
      <c r="H421" s="226"/>
      <c r="I421" s="226"/>
    </row>
    <row r="422" spans="1:9" ht="20.25">
      <c r="A422" s="226"/>
      <c r="B422" s="226"/>
      <c r="C422" s="226"/>
      <c r="D422" s="226"/>
      <c r="E422" s="226"/>
      <c r="F422" s="226"/>
      <c r="G422" s="226"/>
      <c r="H422" s="226"/>
      <c r="I422" s="226"/>
    </row>
    <row r="423" spans="1:9" ht="20.25">
      <c r="A423" s="226"/>
      <c r="B423" s="226"/>
      <c r="C423" s="226"/>
      <c r="D423" s="226"/>
      <c r="E423" s="226"/>
      <c r="F423" s="226"/>
      <c r="G423" s="226"/>
      <c r="H423" s="226"/>
      <c r="I423" s="226"/>
    </row>
    <row r="424" spans="1:9" ht="20.25">
      <c r="A424" s="226"/>
      <c r="B424" s="226"/>
      <c r="C424" s="226"/>
      <c r="D424" s="226"/>
      <c r="E424" s="226"/>
      <c r="F424" s="226"/>
      <c r="G424" s="226"/>
      <c r="H424" s="226"/>
      <c r="I424" s="226"/>
    </row>
    <row r="425" spans="1:9" ht="20.25">
      <c r="A425" s="226"/>
      <c r="B425" s="226"/>
      <c r="C425" s="226"/>
      <c r="D425" s="226"/>
      <c r="E425" s="226"/>
      <c r="F425" s="226"/>
      <c r="G425" s="226"/>
      <c r="H425" s="226"/>
      <c r="I425" s="226"/>
    </row>
    <row r="426" spans="1:9" ht="20.25">
      <c r="A426" s="226"/>
      <c r="B426" s="226"/>
      <c r="C426" s="226"/>
      <c r="D426" s="226"/>
      <c r="E426" s="226"/>
      <c r="F426" s="226"/>
      <c r="G426" s="226"/>
      <c r="H426" s="226"/>
      <c r="I426" s="226"/>
    </row>
    <row r="427" spans="1:9" ht="20.25">
      <c r="A427" s="226"/>
      <c r="B427" s="226"/>
      <c r="C427" s="226"/>
      <c r="D427" s="226"/>
      <c r="E427" s="226"/>
      <c r="F427" s="226"/>
      <c r="G427" s="226"/>
      <c r="H427" s="226"/>
      <c r="I427" s="226"/>
    </row>
    <row r="428" spans="1:9" ht="20.25">
      <c r="A428" s="226"/>
      <c r="B428" s="226"/>
      <c r="C428" s="226"/>
      <c r="D428" s="226"/>
      <c r="E428" s="226"/>
      <c r="F428" s="226"/>
      <c r="G428" s="226"/>
      <c r="H428" s="226"/>
      <c r="I428" s="226"/>
    </row>
    <row r="429" spans="1:9" ht="20.25">
      <c r="A429" s="226"/>
      <c r="B429" s="226"/>
      <c r="C429" s="226"/>
      <c r="D429" s="226"/>
      <c r="E429" s="226"/>
      <c r="F429" s="226"/>
      <c r="G429" s="226"/>
      <c r="H429" s="226"/>
      <c r="I429" s="226"/>
    </row>
    <row r="430" spans="1:9" ht="20.25">
      <c r="A430" s="226"/>
      <c r="B430" s="226"/>
      <c r="C430" s="226"/>
      <c r="D430" s="226"/>
      <c r="E430" s="226"/>
      <c r="F430" s="226"/>
      <c r="G430" s="226"/>
      <c r="H430" s="226"/>
      <c r="I430" s="226"/>
    </row>
    <row r="431" spans="1:9" ht="20.25">
      <c r="A431" s="226"/>
      <c r="B431" s="226"/>
      <c r="C431" s="226"/>
      <c r="D431" s="226"/>
      <c r="E431" s="226"/>
      <c r="F431" s="226"/>
      <c r="G431" s="226"/>
      <c r="H431" s="226"/>
      <c r="I431" s="226"/>
    </row>
    <row r="432" spans="1:9" ht="20.25">
      <c r="A432" s="226"/>
      <c r="B432" s="226"/>
      <c r="C432" s="226"/>
      <c r="D432" s="226"/>
      <c r="E432" s="226"/>
      <c r="F432" s="226"/>
      <c r="G432" s="226"/>
      <c r="H432" s="226"/>
      <c r="I432" s="226"/>
    </row>
    <row r="433" spans="1:9" ht="20.25">
      <c r="A433" s="226"/>
      <c r="B433" s="226"/>
      <c r="C433" s="226"/>
      <c r="D433" s="226"/>
      <c r="E433" s="226"/>
      <c r="F433" s="226"/>
      <c r="G433" s="226"/>
      <c r="H433" s="226"/>
      <c r="I433" s="226"/>
    </row>
    <row r="434" spans="1:9" ht="20.25">
      <c r="A434" s="226"/>
      <c r="B434" s="226"/>
      <c r="C434" s="226"/>
      <c r="D434" s="226"/>
      <c r="E434" s="226"/>
      <c r="F434" s="226"/>
      <c r="G434" s="226"/>
      <c r="H434" s="226"/>
      <c r="I434" s="226"/>
    </row>
    <row r="435" spans="1:9" ht="20.25">
      <c r="A435" s="226"/>
      <c r="B435" s="226"/>
      <c r="C435" s="226"/>
      <c r="D435" s="226"/>
      <c r="E435" s="226"/>
      <c r="F435" s="226"/>
      <c r="G435" s="226"/>
      <c r="H435" s="226"/>
      <c r="I435" s="226"/>
    </row>
    <row r="436" spans="1:9" ht="20.25">
      <c r="A436" s="226"/>
      <c r="B436" s="226"/>
      <c r="C436" s="226"/>
      <c r="D436" s="226"/>
      <c r="E436" s="226"/>
      <c r="F436" s="226"/>
      <c r="G436" s="226"/>
      <c r="H436" s="226"/>
      <c r="I436" s="226"/>
    </row>
    <row r="437" spans="1:9" ht="20.25">
      <c r="A437" s="226"/>
      <c r="B437" s="226"/>
      <c r="C437" s="226"/>
      <c r="D437" s="226"/>
      <c r="E437" s="226"/>
      <c r="F437" s="226"/>
      <c r="G437" s="226"/>
      <c r="H437" s="226"/>
      <c r="I437" s="226"/>
    </row>
    <row r="438" spans="1:9" ht="20.25">
      <c r="A438" s="226"/>
      <c r="B438" s="226"/>
      <c r="C438" s="226"/>
      <c r="D438" s="226"/>
      <c r="E438" s="226"/>
      <c r="F438" s="226"/>
      <c r="G438" s="226"/>
      <c r="H438" s="226"/>
      <c r="I438" s="226"/>
    </row>
    <row r="439" spans="1:9" ht="20.25">
      <c r="A439" s="226"/>
      <c r="B439" s="226"/>
      <c r="C439" s="226"/>
      <c r="D439" s="226"/>
      <c r="E439" s="226"/>
      <c r="F439" s="226"/>
      <c r="G439" s="226"/>
      <c r="H439" s="226"/>
      <c r="I439" s="226"/>
    </row>
    <row r="440" spans="1:9" ht="20.25">
      <c r="A440" s="226"/>
      <c r="B440" s="226"/>
      <c r="C440" s="226"/>
      <c r="D440" s="226"/>
      <c r="E440" s="226"/>
      <c r="F440" s="226"/>
      <c r="G440" s="226"/>
      <c r="H440" s="226"/>
      <c r="I440" s="226"/>
    </row>
    <row r="441" spans="1:9" ht="20.25">
      <c r="A441" s="226"/>
      <c r="B441" s="226"/>
      <c r="C441" s="226"/>
      <c r="D441" s="226"/>
      <c r="E441" s="226"/>
      <c r="F441" s="226"/>
      <c r="G441" s="226"/>
      <c r="H441" s="226"/>
      <c r="I441" s="226"/>
    </row>
    <row r="442" spans="1:9" ht="20.25">
      <c r="A442" s="226"/>
      <c r="B442" s="226"/>
      <c r="C442" s="226"/>
      <c r="D442" s="226"/>
      <c r="E442" s="226"/>
      <c r="F442" s="226"/>
      <c r="G442" s="226"/>
      <c r="H442" s="226"/>
      <c r="I442" s="226"/>
    </row>
    <row r="443" spans="1:9" ht="20.25">
      <c r="A443" s="226"/>
      <c r="B443" s="226"/>
      <c r="C443" s="226"/>
      <c r="D443" s="226"/>
      <c r="E443" s="226"/>
      <c r="F443" s="226"/>
      <c r="G443" s="226"/>
      <c r="H443" s="226"/>
      <c r="I443" s="226"/>
    </row>
    <row r="444" spans="1:9" ht="20.25">
      <c r="A444" s="226"/>
      <c r="B444" s="226"/>
      <c r="C444" s="226"/>
      <c r="D444" s="226"/>
      <c r="E444" s="226"/>
      <c r="F444" s="226"/>
      <c r="G444" s="226"/>
      <c r="H444" s="226"/>
      <c r="I444" s="226"/>
    </row>
    <row r="445" spans="1:9" ht="20.25">
      <c r="A445" s="226"/>
      <c r="B445" s="226"/>
      <c r="C445" s="226"/>
      <c r="D445" s="226"/>
      <c r="E445" s="226"/>
      <c r="F445" s="226"/>
      <c r="G445" s="226"/>
      <c r="H445" s="226"/>
      <c r="I445" s="226"/>
    </row>
    <row r="446" spans="1:9" ht="20.25">
      <c r="A446" s="226"/>
      <c r="B446" s="226"/>
      <c r="C446" s="226"/>
      <c r="D446" s="226"/>
      <c r="E446" s="226"/>
      <c r="F446" s="226"/>
      <c r="G446" s="226"/>
      <c r="H446" s="226"/>
      <c r="I446" s="226"/>
    </row>
    <row r="447" spans="1:9" ht="20.25">
      <c r="A447" s="226"/>
      <c r="B447" s="226"/>
      <c r="C447" s="226"/>
      <c r="D447" s="226"/>
      <c r="E447" s="226"/>
      <c r="F447" s="226"/>
      <c r="G447" s="226"/>
      <c r="H447" s="226"/>
      <c r="I447" s="226"/>
    </row>
    <row r="448" spans="1:9" ht="20.25">
      <c r="A448" s="226"/>
      <c r="B448" s="226"/>
      <c r="C448" s="226"/>
      <c r="D448" s="226"/>
      <c r="E448" s="226"/>
      <c r="F448" s="226"/>
      <c r="G448" s="226"/>
      <c r="H448" s="226"/>
      <c r="I448" s="226"/>
    </row>
    <row r="449" spans="1:9" ht="20.25">
      <c r="A449" s="226"/>
      <c r="B449" s="226"/>
      <c r="C449" s="226"/>
      <c r="D449" s="226"/>
      <c r="E449" s="226"/>
      <c r="F449" s="226"/>
      <c r="G449" s="226"/>
      <c r="H449" s="226"/>
      <c r="I449" s="226"/>
    </row>
    <row r="450" spans="1:9" ht="20.25">
      <c r="A450" s="226"/>
      <c r="B450" s="226"/>
      <c r="C450" s="226"/>
      <c r="D450" s="226"/>
      <c r="E450" s="226"/>
      <c r="F450" s="226"/>
      <c r="G450" s="226"/>
      <c r="H450" s="226"/>
      <c r="I450" s="226"/>
    </row>
    <row r="451" spans="1:9" ht="20.25">
      <c r="A451" s="226"/>
      <c r="B451" s="226"/>
      <c r="C451" s="226"/>
      <c r="D451" s="226"/>
      <c r="E451" s="226"/>
      <c r="F451" s="226"/>
      <c r="G451" s="226"/>
      <c r="H451" s="226"/>
      <c r="I451" s="226"/>
    </row>
    <row r="452" spans="1:9" ht="20.25">
      <c r="A452" s="226"/>
      <c r="B452" s="226"/>
      <c r="C452" s="226"/>
      <c r="D452" s="226"/>
      <c r="E452" s="226"/>
      <c r="F452" s="226"/>
      <c r="G452" s="226"/>
      <c r="H452" s="226"/>
      <c r="I452" s="226"/>
    </row>
    <row r="453" spans="1:9" ht="20.25">
      <c r="A453" s="226"/>
      <c r="B453" s="226"/>
      <c r="C453" s="226"/>
      <c r="D453" s="226"/>
      <c r="E453" s="226"/>
      <c r="F453" s="226"/>
      <c r="G453" s="226"/>
      <c r="H453" s="226"/>
      <c r="I453" s="226"/>
    </row>
    <row r="454" spans="1:9" ht="20.25">
      <c r="A454" s="226"/>
      <c r="B454" s="226"/>
      <c r="C454" s="226"/>
      <c r="D454" s="226"/>
      <c r="E454" s="226"/>
      <c r="F454" s="226"/>
      <c r="G454" s="226"/>
      <c r="H454" s="226"/>
      <c r="I454" s="226"/>
    </row>
    <row r="455" spans="1:9" ht="20.25">
      <c r="A455" s="226"/>
      <c r="B455" s="226"/>
      <c r="C455" s="226"/>
      <c r="D455" s="226"/>
      <c r="E455" s="226"/>
      <c r="F455" s="226"/>
      <c r="G455" s="226"/>
      <c r="H455" s="226"/>
      <c r="I455" s="226"/>
    </row>
    <row r="456" spans="1:9" ht="20.25">
      <c r="A456" s="226"/>
      <c r="B456" s="226"/>
      <c r="C456" s="226"/>
      <c r="D456" s="226"/>
      <c r="E456" s="226"/>
      <c r="F456" s="226"/>
      <c r="G456" s="226"/>
      <c r="H456" s="226"/>
      <c r="I456" s="226"/>
    </row>
    <row r="457" spans="1:9" ht="20.25">
      <c r="A457" s="226"/>
      <c r="B457" s="226"/>
      <c r="C457" s="226"/>
      <c r="D457" s="226"/>
      <c r="E457" s="226"/>
      <c r="F457" s="226"/>
      <c r="G457" s="226"/>
      <c r="H457" s="226"/>
      <c r="I457" s="226"/>
    </row>
    <row r="458" spans="1:9" ht="20.25">
      <c r="A458" s="226"/>
      <c r="B458" s="226"/>
      <c r="C458" s="226"/>
      <c r="D458" s="226"/>
      <c r="E458" s="226"/>
      <c r="F458" s="226"/>
      <c r="G458" s="226"/>
      <c r="H458" s="226"/>
      <c r="I458" s="226"/>
    </row>
    <row r="459" spans="1:9" ht="20.25">
      <c r="A459" s="226"/>
      <c r="B459" s="226"/>
      <c r="C459" s="226"/>
      <c r="D459" s="226"/>
      <c r="E459" s="226"/>
      <c r="F459" s="226"/>
      <c r="G459" s="226"/>
      <c r="H459" s="226"/>
      <c r="I459" s="226"/>
    </row>
    <row r="460" spans="1:9" ht="20.25">
      <c r="A460" s="226"/>
      <c r="B460" s="226"/>
      <c r="C460" s="226"/>
      <c r="D460" s="226"/>
      <c r="E460" s="226"/>
      <c r="F460" s="226"/>
      <c r="G460" s="226"/>
      <c r="H460" s="226"/>
      <c r="I460" s="226"/>
    </row>
    <row r="461" spans="1:9" ht="20.25">
      <c r="A461" s="226"/>
      <c r="B461" s="226"/>
      <c r="C461" s="226"/>
      <c r="D461" s="226"/>
      <c r="E461" s="226"/>
      <c r="F461" s="226"/>
      <c r="G461" s="226"/>
      <c r="H461" s="226"/>
      <c r="I461" s="226"/>
    </row>
    <row r="462" spans="1:9" ht="20.25">
      <c r="A462" s="226"/>
      <c r="B462" s="226"/>
      <c r="C462" s="226"/>
      <c r="D462" s="226"/>
      <c r="E462" s="226"/>
      <c r="F462" s="226"/>
      <c r="G462" s="226"/>
      <c r="H462" s="226"/>
      <c r="I462" s="226"/>
    </row>
    <row r="463" spans="1:9" ht="20.25">
      <c r="A463" s="226"/>
      <c r="B463" s="226"/>
      <c r="C463" s="226"/>
      <c r="D463" s="226"/>
      <c r="E463" s="226"/>
      <c r="F463" s="226"/>
      <c r="G463" s="226"/>
      <c r="H463" s="226"/>
      <c r="I463" s="226"/>
    </row>
    <row r="464" spans="1:9" ht="20.25">
      <c r="A464" s="226"/>
      <c r="B464" s="226"/>
      <c r="C464" s="226"/>
      <c r="D464" s="226"/>
      <c r="E464" s="226"/>
      <c r="F464" s="226"/>
      <c r="G464" s="226"/>
      <c r="H464" s="226"/>
      <c r="I464" s="226"/>
    </row>
    <row r="465" spans="1:9" ht="20.25">
      <c r="A465" s="226"/>
      <c r="B465" s="226"/>
      <c r="C465" s="226"/>
      <c r="D465" s="226"/>
      <c r="E465" s="226"/>
      <c r="F465" s="226"/>
      <c r="G465" s="226"/>
      <c r="H465" s="226"/>
      <c r="I465" s="226"/>
    </row>
    <row r="466" spans="1:9" ht="20.25">
      <c r="A466" s="226"/>
      <c r="B466" s="226"/>
      <c r="C466" s="226"/>
      <c r="D466" s="226"/>
      <c r="E466" s="226"/>
      <c r="F466" s="226"/>
      <c r="G466" s="226"/>
      <c r="H466" s="226"/>
      <c r="I466" s="226"/>
    </row>
    <row r="467" spans="1:9" ht="20.25">
      <c r="A467" s="226"/>
      <c r="B467" s="226"/>
      <c r="C467" s="226"/>
      <c r="D467" s="226"/>
      <c r="E467" s="226"/>
      <c r="F467" s="226"/>
      <c r="G467" s="226"/>
      <c r="H467" s="226"/>
      <c r="I467" s="226"/>
    </row>
    <row r="468" spans="1:9" ht="20.25">
      <c r="A468" s="226"/>
      <c r="B468" s="226"/>
      <c r="C468" s="226"/>
      <c r="D468" s="226"/>
      <c r="E468" s="226"/>
      <c r="F468" s="226"/>
      <c r="G468" s="226"/>
      <c r="H468" s="226"/>
      <c r="I468" s="226"/>
    </row>
    <row r="469" spans="1:9" ht="20.25">
      <c r="A469" s="226"/>
      <c r="B469" s="226"/>
      <c r="C469" s="226"/>
      <c r="D469" s="226"/>
      <c r="E469" s="226"/>
      <c r="F469" s="226"/>
      <c r="G469" s="226"/>
      <c r="H469" s="226"/>
      <c r="I469" s="226"/>
    </row>
    <row r="470" spans="1:9" ht="20.25">
      <c r="A470" s="226"/>
      <c r="B470" s="226"/>
      <c r="C470" s="226"/>
      <c r="D470" s="226"/>
      <c r="E470" s="226"/>
      <c r="F470" s="226"/>
      <c r="G470" s="226"/>
      <c r="H470" s="226"/>
      <c r="I470" s="226"/>
    </row>
    <row r="471" spans="1:9" ht="20.25">
      <c r="A471" s="226"/>
      <c r="B471" s="226"/>
      <c r="C471" s="226"/>
      <c r="D471" s="226"/>
      <c r="E471" s="226"/>
      <c r="F471" s="226"/>
      <c r="G471" s="226"/>
      <c r="H471" s="226"/>
      <c r="I471" s="226"/>
    </row>
    <row r="472" spans="1:9" ht="20.25">
      <c r="A472" s="226"/>
      <c r="B472" s="226"/>
      <c r="C472" s="226"/>
      <c r="D472" s="226"/>
      <c r="E472" s="226"/>
      <c r="F472" s="226"/>
      <c r="G472" s="226"/>
      <c r="H472" s="226"/>
      <c r="I472" s="226"/>
    </row>
    <row r="473" spans="1:9" ht="20.25">
      <c r="A473" s="226"/>
      <c r="B473" s="226"/>
      <c r="C473" s="226"/>
      <c r="D473" s="226"/>
      <c r="E473" s="226"/>
      <c r="F473" s="226"/>
      <c r="G473" s="226"/>
      <c r="H473" s="226"/>
      <c r="I473" s="226"/>
    </row>
    <row r="474" spans="1:9" ht="20.25">
      <c r="A474" s="226"/>
      <c r="B474" s="226"/>
      <c r="C474" s="226"/>
      <c r="D474" s="226"/>
      <c r="E474" s="226"/>
      <c r="F474" s="226"/>
      <c r="G474" s="226"/>
      <c r="H474" s="226"/>
      <c r="I474" s="226"/>
    </row>
    <row r="475" spans="1:9" ht="20.25">
      <c r="A475" s="226"/>
      <c r="B475" s="226"/>
      <c r="C475" s="226"/>
      <c r="D475" s="226"/>
      <c r="E475" s="226"/>
      <c r="F475" s="226"/>
      <c r="G475" s="226"/>
      <c r="H475" s="226"/>
      <c r="I475" s="226"/>
    </row>
    <row r="476" spans="1:9" ht="20.25">
      <c r="A476" s="226"/>
      <c r="B476" s="226"/>
      <c r="C476" s="226"/>
      <c r="D476" s="226"/>
      <c r="E476" s="226"/>
      <c r="F476" s="226"/>
      <c r="G476" s="226"/>
      <c r="H476" s="226"/>
      <c r="I476" s="226"/>
    </row>
    <row r="477" spans="1:9" ht="20.25">
      <c r="A477" s="226"/>
      <c r="B477" s="226"/>
      <c r="C477" s="226"/>
      <c r="D477" s="226"/>
      <c r="E477" s="226"/>
      <c r="F477" s="226"/>
      <c r="G477" s="226"/>
      <c r="H477" s="226"/>
      <c r="I477" s="226"/>
    </row>
    <row r="478" spans="1:9" ht="20.25">
      <c r="A478" s="226"/>
      <c r="B478" s="226"/>
      <c r="C478" s="226"/>
      <c r="D478" s="226"/>
      <c r="E478" s="226"/>
      <c r="F478" s="226"/>
      <c r="G478" s="226"/>
      <c r="H478" s="226"/>
      <c r="I478" s="226"/>
    </row>
    <row r="479" spans="1:9" ht="20.25">
      <c r="A479" s="226"/>
      <c r="B479" s="226"/>
      <c r="C479" s="226"/>
      <c r="D479" s="226"/>
      <c r="E479" s="226"/>
      <c r="F479" s="226"/>
      <c r="G479" s="226"/>
      <c r="H479" s="226"/>
      <c r="I479" s="226"/>
    </row>
    <row r="480" spans="1:9" ht="20.25">
      <c r="A480" s="226"/>
      <c r="B480" s="226"/>
      <c r="C480" s="226"/>
      <c r="D480" s="226"/>
      <c r="E480" s="226"/>
      <c r="F480" s="226"/>
      <c r="G480" s="226"/>
      <c r="H480" s="226"/>
      <c r="I480" s="226"/>
    </row>
    <row r="481" spans="1:9" ht="20.25">
      <c r="A481" s="226"/>
      <c r="B481" s="226"/>
      <c r="C481" s="226"/>
      <c r="D481" s="226"/>
      <c r="E481" s="226"/>
      <c r="F481" s="226"/>
      <c r="G481" s="226"/>
      <c r="H481" s="226"/>
      <c r="I481" s="226"/>
    </row>
    <row r="482" spans="1:9" ht="20.25">
      <c r="A482" s="226"/>
      <c r="B482" s="226"/>
      <c r="C482" s="226"/>
      <c r="D482" s="226"/>
      <c r="E482" s="226"/>
      <c r="F482" s="226"/>
      <c r="G482" s="226"/>
      <c r="H482" s="226"/>
      <c r="I482" s="226"/>
    </row>
    <row r="483" spans="1:9" ht="20.25">
      <c r="A483" s="226"/>
      <c r="B483" s="226"/>
      <c r="C483" s="226"/>
      <c r="D483" s="226"/>
      <c r="E483" s="226"/>
      <c r="F483" s="226"/>
      <c r="G483" s="226"/>
      <c r="H483" s="226"/>
      <c r="I483" s="226"/>
    </row>
    <row r="484" spans="1:9" ht="20.25">
      <c r="A484" s="226"/>
      <c r="B484" s="226"/>
      <c r="C484" s="226"/>
      <c r="D484" s="226"/>
      <c r="E484" s="226"/>
      <c r="F484" s="226"/>
      <c r="G484" s="226"/>
      <c r="H484" s="226"/>
      <c r="I484" s="226"/>
    </row>
    <row r="485" spans="1:9" ht="20.25">
      <c r="A485" s="226"/>
      <c r="B485" s="226"/>
      <c r="C485" s="226"/>
      <c r="D485" s="226"/>
      <c r="E485" s="226"/>
      <c r="F485" s="226"/>
      <c r="G485" s="226"/>
      <c r="H485" s="226"/>
      <c r="I485" s="226"/>
    </row>
    <row r="486" spans="1:9" ht="20.25">
      <c r="A486" s="226"/>
      <c r="B486" s="226"/>
      <c r="C486" s="226"/>
      <c r="D486" s="226"/>
      <c r="E486" s="226"/>
      <c r="F486" s="226"/>
      <c r="G486" s="226"/>
      <c r="H486" s="226"/>
      <c r="I486" s="226"/>
    </row>
    <row r="487" spans="1:9" ht="20.25">
      <c r="A487" s="226"/>
      <c r="B487" s="226"/>
      <c r="C487" s="226"/>
      <c r="D487" s="226"/>
      <c r="E487" s="226"/>
      <c r="F487" s="226"/>
      <c r="G487" s="226"/>
      <c r="H487" s="226"/>
      <c r="I487" s="226"/>
    </row>
    <row r="488" spans="1:9" ht="20.25">
      <c r="A488" s="226"/>
      <c r="B488" s="226"/>
      <c r="C488" s="226"/>
      <c r="D488" s="226"/>
      <c r="E488" s="226"/>
      <c r="F488" s="226"/>
      <c r="G488" s="226"/>
      <c r="H488" s="226"/>
      <c r="I488" s="226"/>
    </row>
    <row r="489" spans="1:9" ht="20.25">
      <c r="A489" s="226"/>
      <c r="B489" s="226"/>
      <c r="C489" s="226"/>
      <c r="D489" s="226"/>
      <c r="E489" s="226"/>
      <c r="F489" s="226"/>
      <c r="G489" s="226"/>
      <c r="H489" s="226"/>
      <c r="I489" s="226"/>
    </row>
    <row r="490" spans="1:9" ht="20.25">
      <c r="A490" s="226"/>
      <c r="B490" s="226"/>
      <c r="C490" s="226"/>
      <c r="D490" s="226"/>
      <c r="E490" s="226"/>
      <c r="F490" s="226"/>
      <c r="G490" s="226"/>
      <c r="H490" s="226"/>
      <c r="I490" s="226"/>
    </row>
    <row r="491" spans="1:9" ht="20.25">
      <c r="A491" s="226"/>
      <c r="B491" s="226"/>
      <c r="C491" s="226"/>
      <c r="D491" s="226"/>
      <c r="E491" s="226"/>
      <c r="F491" s="226"/>
      <c r="G491" s="226"/>
      <c r="H491" s="226"/>
      <c r="I491" s="226"/>
    </row>
    <row r="492" spans="1:9" ht="20.25">
      <c r="A492" s="226"/>
      <c r="B492" s="226"/>
      <c r="C492" s="226"/>
      <c r="D492" s="226"/>
      <c r="E492" s="226"/>
      <c r="F492" s="226"/>
      <c r="G492" s="226"/>
      <c r="H492" s="226"/>
      <c r="I492" s="226"/>
    </row>
    <row r="493" spans="1:9" ht="20.25">
      <c r="A493" s="226"/>
      <c r="B493" s="226"/>
      <c r="C493" s="226"/>
      <c r="D493" s="226"/>
      <c r="E493" s="226"/>
      <c r="F493" s="226"/>
      <c r="G493" s="226"/>
      <c r="H493" s="226"/>
      <c r="I493" s="226"/>
    </row>
    <row r="494" spans="1:9" ht="20.25">
      <c r="A494" s="226"/>
      <c r="B494" s="226"/>
      <c r="C494" s="226"/>
      <c r="D494" s="226"/>
      <c r="E494" s="226"/>
      <c r="F494" s="226"/>
      <c r="G494" s="226"/>
      <c r="H494" s="226"/>
      <c r="I494" s="226"/>
    </row>
    <row r="495" spans="1:9" ht="20.25">
      <c r="A495" s="226"/>
      <c r="B495" s="226"/>
      <c r="C495" s="226"/>
      <c r="D495" s="226"/>
      <c r="E495" s="226"/>
      <c r="F495" s="226"/>
      <c r="G495" s="226"/>
      <c r="H495" s="226"/>
      <c r="I495" s="226"/>
    </row>
    <row r="496" spans="1:9" ht="20.25">
      <c r="A496" s="226"/>
      <c r="B496" s="226"/>
      <c r="C496" s="226"/>
      <c r="D496" s="226"/>
      <c r="E496" s="226"/>
      <c r="F496" s="226"/>
      <c r="G496" s="226"/>
      <c r="H496" s="226"/>
      <c r="I496" s="226"/>
    </row>
    <row r="497" spans="1:9" ht="20.25">
      <c r="A497" s="226"/>
      <c r="B497" s="226"/>
      <c r="C497" s="226"/>
      <c r="D497" s="226"/>
      <c r="E497" s="226"/>
      <c r="F497" s="226"/>
      <c r="G497" s="226"/>
      <c r="H497" s="226"/>
      <c r="I497" s="226"/>
    </row>
    <row r="498" spans="1:9" ht="20.25">
      <c r="A498" s="226"/>
      <c r="B498" s="226"/>
      <c r="C498" s="226"/>
      <c r="D498" s="226"/>
      <c r="E498" s="226"/>
      <c r="F498" s="226"/>
      <c r="G498" s="226"/>
      <c r="H498" s="226"/>
      <c r="I498" s="226"/>
    </row>
    <row r="499" spans="1:9" ht="20.25">
      <c r="A499" s="226"/>
      <c r="B499" s="226"/>
      <c r="C499" s="226"/>
      <c r="D499" s="226"/>
      <c r="E499" s="226"/>
      <c r="F499" s="226"/>
      <c r="G499" s="226"/>
      <c r="H499" s="226"/>
      <c r="I499" s="226"/>
    </row>
    <row r="500" spans="1:9" ht="20.25">
      <c r="A500" s="226"/>
      <c r="B500" s="226"/>
      <c r="C500" s="226"/>
      <c r="D500" s="226"/>
      <c r="E500" s="226"/>
      <c r="F500" s="226"/>
      <c r="G500" s="226"/>
      <c r="H500" s="226"/>
      <c r="I500" s="226"/>
    </row>
    <row r="501" spans="1:9" ht="20.25">
      <c r="A501" s="226"/>
      <c r="B501" s="226"/>
      <c r="C501" s="226"/>
      <c r="D501" s="226"/>
      <c r="E501" s="226"/>
      <c r="F501" s="226"/>
      <c r="G501" s="226"/>
      <c r="H501" s="226"/>
      <c r="I501" s="226"/>
    </row>
    <row r="502" spans="1:9" ht="20.25">
      <c r="A502" s="226"/>
      <c r="B502" s="226"/>
      <c r="C502" s="226"/>
      <c r="D502" s="226"/>
      <c r="E502" s="226"/>
      <c r="F502" s="226"/>
      <c r="G502" s="226"/>
      <c r="H502" s="226"/>
      <c r="I502" s="226"/>
    </row>
    <row r="503" spans="1:9" ht="20.25">
      <c r="A503" s="226"/>
      <c r="B503" s="226"/>
      <c r="C503" s="226"/>
      <c r="D503" s="226"/>
      <c r="E503" s="226"/>
      <c r="F503" s="226"/>
      <c r="G503" s="226"/>
      <c r="H503" s="226"/>
      <c r="I503" s="226"/>
    </row>
    <row r="504" spans="1:9" ht="20.25">
      <c r="A504" s="226"/>
      <c r="B504" s="226"/>
      <c r="C504" s="226"/>
      <c r="D504" s="226"/>
      <c r="E504" s="226"/>
      <c r="F504" s="226"/>
      <c r="G504" s="226"/>
      <c r="H504" s="226"/>
      <c r="I504" s="226"/>
    </row>
    <row r="505" spans="1:9" ht="20.25">
      <c r="A505" s="226"/>
      <c r="B505" s="226"/>
      <c r="C505" s="226"/>
      <c r="D505" s="226"/>
      <c r="E505" s="226"/>
      <c r="F505" s="226"/>
      <c r="G505" s="226"/>
      <c r="H505" s="226"/>
      <c r="I505" s="226"/>
    </row>
    <row r="506" spans="1:9" ht="20.25">
      <c r="A506" s="226"/>
      <c r="B506" s="226"/>
      <c r="C506" s="226"/>
      <c r="D506" s="226"/>
      <c r="E506" s="226"/>
      <c r="F506" s="226"/>
      <c r="G506" s="226"/>
      <c r="H506" s="226"/>
      <c r="I506" s="226"/>
    </row>
    <row r="507" spans="1:9" ht="20.25">
      <c r="A507" s="226"/>
      <c r="B507" s="226"/>
      <c r="C507" s="226"/>
      <c r="D507" s="226"/>
      <c r="E507" s="226"/>
      <c r="F507" s="226"/>
      <c r="G507" s="226"/>
      <c r="H507" s="226"/>
      <c r="I507" s="226"/>
    </row>
    <row r="508" spans="1:9" ht="20.25">
      <c r="A508" s="226"/>
      <c r="B508" s="226"/>
      <c r="C508" s="226"/>
      <c r="D508" s="226"/>
      <c r="E508" s="226"/>
      <c r="F508" s="226"/>
      <c r="G508" s="226"/>
      <c r="H508" s="226"/>
      <c r="I508" s="226"/>
    </row>
    <row r="509" spans="1:9" ht="20.25">
      <c r="A509" s="226"/>
      <c r="B509" s="226"/>
      <c r="C509" s="226"/>
      <c r="D509" s="226"/>
      <c r="E509" s="226"/>
      <c r="F509" s="226"/>
      <c r="G509" s="226"/>
      <c r="H509" s="226"/>
      <c r="I509" s="226"/>
    </row>
    <row r="510" spans="1:9" ht="20.25">
      <c r="A510" s="226"/>
      <c r="B510" s="226"/>
      <c r="C510" s="226"/>
      <c r="D510" s="226"/>
      <c r="E510" s="226"/>
      <c r="F510" s="226"/>
      <c r="G510" s="226"/>
      <c r="H510" s="226"/>
      <c r="I510" s="226"/>
    </row>
    <row r="511" spans="1:9" ht="20.25">
      <c r="A511" s="226"/>
      <c r="B511" s="226"/>
      <c r="C511" s="226"/>
      <c r="D511" s="226"/>
      <c r="E511" s="226"/>
      <c r="F511" s="226"/>
      <c r="G511" s="226"/>
      <c r="H511" s="226"/>
      <c r="I511" s="226"/>
    </row>
    <row r="512" spans="1:9" ht="20.25">
      <c r="A512" s="226"/>
      <c r="B512" s="226"/>
      <c r="C512" s="226"/>
      <c r="D512" s="226"/>
      <c r="E512" s="226"/>
      <c r="F512" s="226"/>
      <c r="G512" s="226"/>
      <c r="H512" s="226"/>
      <c r="I512" s="226"/>
    </row>
    <row r="513" spans="1:9" ht="20.25">
      <c r="A513" s="226"/>
      <c r="B513" s="226"/>
      <c r="C513" s="226"/>
      <c r="D513" s="226"/>
      <c r="E513" s="226"/>
      <c r="F513" s="226"/>
      <c r="G513" s="226"/>
      <c r="H513" s="226"/>
      <c r="I513" s="226"/>
    </row>
    <row r="514" spans="1:9" ht="20.25">
      <c r="A514" s="226"/>
      <c r="B514" s="226"/>
      <c r="C514" s="226"/>
      <c r="D514" s="226"/>
      <c r="E514" s="226"/>
      <c r="F514" s="226"/>
      <c r="G514" s="226"/>
      <c r="H514" s="226"/>
      <c r="I514" s="226"/>
    </row>
    <row r="515" spans="1:9" ht="20.25">
      <c r="A515" s="226"/>
      <c r="B515" s="226"/>
      <c r="C515" s="226"/>
      <c r="D515" s="226"/>
      <c r="E515" s="226"/>
      <c r="F515" s="226"/>
      <c r="G515" s="226"/>
      <c r="H515" s="226"/>
      <c r="I515" s="226"/>
    </row>
    <row r="516" spans="1:9" ht="20.25">
      <c r="A516" s="226"/>
      <c r="B516" s="226"/>
      <c r="C516" s="226"/>
      <c r="D516" s="226"/>
      <c r="E516" s="226"/>
      <c r="F516" s="226"/>
      <c r="G516" s="226"/>
      <c r="H516" s="226"/>
      <c r="I516" s="226"/>
    </row>
    <row r="517" spans="1:9" ht="20.25">
      <c r="A517" s="226"/>
      <c r="B517" s="226"/>
      <c r="C517" s="226"/>
      <c r="D517" s="226"/>
      <c r="E517" s="226"/>
      <c r="F517" s="226"/>
      <c r="G517" s="226"/>
      <c r="H517" s="226"/>
      <c r="I517" s="226"/>
    </row>
    <row r="518" spans="1:9" ht="20.25">
      <c r="A518" s="226"/>
      <c r="B518" s="226"/>
      <c r="C518" s="226"/>
      <c r="D518" s="226"/>
      <c r="E518" s="226"/>
      <c r="F518" s="226"/>
      <c r="G518" s="226"/>
      <c r="H518" s="226"/>
      <c r="I518" s="226"/>
    </row>
    <row r="519" spans="1:9" ht="20.25">
      <c r="A519" s="226"/>
      <c r="B519" s="226"/>
      <c r="C519" s="226"/>
      <c r="D519" s="226"/>
      <c r="E519" s="226"/>
      <c r="F519" s="226"/>
      <c r="G519" s="226"/>
      <c r="H519" s="226"/>
      <c r="I519" s="226"/>
    </row>
    <row r="520" spans="1:9" ht="20.25">
      <c r="A520" s="226"/>
      <c r="B520" s="226"/>
      <c r="C520" s="226"/>
      <c r="D520" s="226"/>
      <c r="E520" s="226"/>
      <c r="F520" s="226"/>
      <c r="G520" s="226"/>
      <c r="H520" s="226"/>
      <c r="I520" s="226"/>
    </row>
    <row r="521" spans="1:9" ht="20.25">
      <c r="A521" s="226"/>
      <c r="B521" s="226"/>
      <c r="C521" s="226"/>
      <c r="D521" s="226"/>
      <c r="E521" s="226"/>
      <c r="F521" s="226"/>
      <c r="G521" s="226"/>
      <c r="H521" s="226"/>
      <c r="I521" s="226"/>
    </row>
    <row r="522" spans="1:9" ht="20.25">
      <c r="A522" s="226"/>
      <c r="B522" s="226"/>
      <c r="C522" s="226"/>
      <c r="D522" s="226"/>
      <c r="E522" s="226"/>
      <c r="F522" s="226"/>
      <c r="G522" s="226"/>
      <c r="H522" s="226"/>
      <c r="I522" s="226"/>
    </row>
    <row r="523" spans="1:9" ht="20.25">
      <c r="A523" s="226"/>
      <c r="B523" s="226"/>
      <c r="C523" s="226"/>
      <c r="D523" s="226"/>
      <c r="E523" s="226"/>
      <c r="F523" s="226"/>
      <c r="G523" s="226"/>
      <c r="H523" s="226"/>
      <c r="I523" s="226"/>
    </row>
    <row r="524" spans="1:9" ht="20.25">
      <c r="A524" s="226"/>
      <c r="B524" s="226"/>
      <c r="C524" s="226"/>
      <c r="D524" s="226"/>
      <c r="E524" s="226"/>
      <c r="F524" s="226"/>
      <c r="G524" s="226"/>
      <c r="H524" s="226"/>
      <c r="I524" s="226"/>
    </row>
    <row r="525" spans="1:9" ht="20.25">
      <c r="A525" s="226"/>
      <c r="B525" s="226"/>
      <c r="C525" s="226"/>
      <c r="D525" s="226"/>
      <c r="E525" s="226"/>
      <c r="F525" s="226"/>
      <c r="G525" s="226"/>
      <c r="H525" s="226"/>
      <c r="I525" s="226"/>
    </row>
    <row r="526" spans="1:9" ht="20.25">
      <c r="A526" s="226"/>
      <c r="B526" s="226"/>
      <c r="C526" s="226"/>
      <c r="D526" s="226"/>
      <c r="E526" s="226"/>
      <c r="F526" s="226"/>
      <c r="G526" s="226"/>
      <c r="H526" s="226"/>
      <c r="I526" s="226"/>
    </row>
    <row r="527" spans="1:9" ht="20.25">
      <c r="A527" s="226"/>
      <c r="B527" s="226"/>
      <c r="C527" s="226"/>
      <c r="D527" s="226"/>
      <c r="E527" s="226"/>
      <c r="F527" s="226"/>
      <c r="G527" s="226"/>
      <c r="H527" s="226"/>
      <c r="I527" s="226"/>
    </row>
    <row r="528" spans="1:9" ht="20.25">
      <c r="A528" s="226"/>
      <c r="B528" s="226"/>
      <c r="C528" s="226"/>
      <c r="D528" s="226"/>
      <c r="E528" s="226"/>
      <c r="F528" s="226"/>
      <c r="G528" s="226"/>
      <c r="H528" s="226"/>
      <c r="I528" s="226"/>
    </row>
    <row r="529" spans="1:9" ht="20.25">
      <c r="A529" s="226"/>
      <c r="B529" s="226"/>
      <c r="C529" s="226"/>
      <c r="D529" s="226"/>
      <c r="E529" s="226"/>
      <c r="F529" s="226"/>
      <c r="G529" s="226"/>
      <c r="H529" s="226"/>
      <c r="I529" s="226"/>
    </row>
    <row r="530" spans="1:9" ht="20.25">
      <c r="A530" s="226"/>
      <c r="B530" s="226"/>
      <c r="C530" s="226"/>
      <c r="D530" s="226"/>
      <c r="E530" s="226"/>
      <c r="F530" s="226"/>
      <c r="G530" s="226"/>
      <c r="H530" s="226"/>
      <c r="I530" s="226"/>
    </row>
    <row r="531" spans="1:9" ht="20.25">
      <c r="A531" s="226"/>
      <c r="B531" s="226"/>
      <c r="C531" s="226"/>
      <c r="D531" s="226"/>
      <c r="E531" s="226"/>
      <c r="F531" s="226"/>
      <c r="G531" s="226"/>
      <c r="H531" s="226"/>
      <c r="I531" s="226"/>
    </row>
    <row r="532" spans="1:9" ht="20.25">
      <c r="A532" s="226"/>
      <c r="B532" s="226"/>
      <c r="C532" s="226"/>
      <c r="D532" s="226"/>
      <c r="E532" s="226"/>
      <c r="F532" s="226"/>
      <c r="G532" s="226"/>
      <c r="H532" s="226"/>
      <c r="I532" s="226"/>
    </row>
    <row r="533" spans="1:9" ht="20.25">
      <c r="A533" s="226"/>
      <c r="B533" s="226"/>
      <c r="C533" s="226"/>
      <c r="D533" s="226"/>
      <c r="E533" s="226"/>
      <c r="F533" s="226"/>
      <c r="G533" s="226"/>
      <c r="H533" s="226"/>
      <c r="I533" s="226"/>
    </row>
    <row r="534" spans="1:9" ht="20.25">
      <c r="A534" s="226"/>
      <c r="B534" s="226"/>
      <c r="C534" s="226"/>
      <c r="D534" s="226"/>
      <c r="E534" s="226"/>
      <c r="F534" s="226"/>
      <c r="G534" s="226"/>
      <c r="H534" s="226"/>
      <c r="I534" s="226"/>
    </row>
    <row r="535" spans="1:9" ht="20.25">
      <c r="A535" s="226"/>
      <c r="B535" s="226"/>
      <c r="C535" s="226"/>
      <c r="D535" s="226"/>
      <c r="E535" s="226"/>
      <c r="F535" s="226"/>
      <c r="G535" s="226"/>
      <c r="H535" s="226"/>
      <c r="I535" s="226"/>
    </row>
    <row r="536" spans="1:9" ht="20.25">
      <c r="A536" s="226"/>
      <c r="B536" s="226"/>
      <c r="C536" s="226"/>
      <c r="D536" s="226"/>
      <c r="E536" s="226"/>
      <c r="F536" s="226"/>
      <c r="G536" s="226"/>
      <c r="H536" s="226"/>
      <c r="I536" s="226"/>
    </row>
    <row r="537" spans="1:9" ht="20.25">
      <c r="A537" s="226"/>
      <c r="B537" s="226"/>
      <c r="C537" s="226"/>
      <c r="D537" s="226"/>
      <c r="E537" s="226"/>
      <c r="F537" s="226"/>
      <c r="G537" s="226"/>
      <c r="H537" s="226"/>
      <c r="I537" s="226"/>
    </row>
    <row r="538" spans="1:9" ht="20.25">
      <c r="A538" s="226"/>
      <c r="B538" s="226"/>
      <c r="C538" s="226"/>
      <c r="D538" s="226"/>
      <c r="E538" s="226"/>
      <c r="F538" s="226"/>
      <c r="G538" s="226"/>
      <c r="H538" s="226"/>
      <c r="I538" s="226"/>
    </row>
    <row r="539" spans="1:9" ht="20.25">
      <c r="A539" s="226"/>
      <c r="B539" s="226"/>
      <c r="C539" s="226"/>
      <c r="D539" s="226"/>
      <c r="E539" s="226"/>
      <c r="F539" s="226"/>
      <c r="G539" s="226"/>
      <c r="H539" s="226"/>
      <c r="I539" s="226"/>
    </row>
    <row r="540" spans="1:9" ht="20.25">
      <c r="A540" s="226"/>
      <c r="B540" s="226"/>
      <c r="C540" s="226"/>
      <c r="D540" s="226"/>
      <c r="E540" s="226"/>
      <c r="F540" s="226"/>
      <c r="G540" s="226"/>
      <c r="H540" s="226"/>
      <c r="I540" s="226"/>
    </row>
    <row r="541" spans="1:9" ht="20.25">
      <c r="A541" s="226"/>
      <c r="B541" s="226"/>
      <c r="C541" s="226"/>
      <c r="D541" s="226"/>
      <c r="E541" s="226"/>
      <c r="F541" s="226"/>
      <c r="G541" s="226"/>
      <c r="H541" s="226"/>
      <c r="I541" s="226"/>
    </row>
    <row r="542" spans="1:9" ht="20.25">
      <c r="A542" s="226"/>
      <c r="B542" s="226"/>
      <c r="C542" s="226"/>
      <c r="D542" s="226"/>
      <c r="E542" s="226"/>
      <c r="F542" s="226"/>
      <c r="G542" s="226"/>
      <c r="H542" s="226"/>
      <c r="I542" s="226"/>
    </row>
    <row r="543" spans="1:9" ht="20.25">
      <c r="A543" s="226"/>
      <c r="B543" s="226"/>
      <c r="C543" s="226"/>
      <c r="D543" s="226"/>
      <c r="E543" s="226"/>
      <c r="F543" s="226"/>
      <c r="G543" s="226"/>
      <c r="H543" s="226"/>
      <c r="I543" s="226"/>
    </row>
    <row r="544" spans="1:9" ht="20.25">
      <c r="A544" s="226"/>
      <c r="B544" s="226"/>
      <c r="C544" s="226"/>
      <c r="D544" s="226"/>
      <c r="E544" s="226"/>
      <c r="F544" s="226"/>
      <c r="G544" s="226"/>
      <c r="H544" s="226"/>
      <c r="I544" s="226"/>
    </row>
    <row r="545" spans="1:9" ht="20.25">
      <c r="A545" s="226"/>
      <c r="B545" s="226"/>
      <c r="C545" s="226"/>
      <c r="D545" s="226"/>
      <c r="E545" s="226"/>
      <c r="F545" s="226"/>
      <c r="G545" s="226"/>
      <c r="H545" s="226"/>
      <c r="I545" s="226"/>
    </row>
    <row r="546" spans="1:9" ht="20.25">
      <c r="A546" s="226"/>
      <c r="B546" s="226"/>
      <c r="C546" s="226"/>
      <c r="D546" s="226"/>
      <c r="E546" s="226"/>
      <c r="F546" s="226"/>
      <c r="G546" s="226"/>
      <c r="H546" s="226"/>
      <c r="I546" s="226"/>
    </row>
    <row r="547" spans="1:9" ht="20.25">
      <c r="A547" s="226"/>
      <c r="B547" s="226"/>
      <c r="C547" s="226"/>
      <c r="D547" s="226"/>
      <c r="E547" s="226"/>
      <c r="F547" s="226"/>
      <c r="G547" s="226"/>
      <c r="H547" s="226"/>
      <c r="I547" s="226"/>
    </row>
    <row r="548" spans="1:9" ht="20.25">
      <c r="A548" s="226"/>
      <c r="B548" s="226"/>
      <c r="C548" s="226"/>
      <c r="D548" s="226"/>
      <c r="E548" s="226"/>
      <c r="F548" s="226"/>
      <c r="G548" s="226"/>
      <c r="H548" s="226"/>
      <c r="I548" s="226"/>
    </row>
    <row r="549" spans="1:9" ht="20.25">
      <c r="A549" s="226"/>
      <c r="B549" s="226"/>
      <c r="C549" s="226"/>
      <c r="D549" s="226"/>
      <c r="E549" s="226"/>
      <c r="F549" s="226"/>
      <c r="G549" s="226"/>
      <c r="H549" s="226"/>
      <c r="I549" s="226"/>
    </row>
    <row r="550" spans="1:9" ht="20.25">
      <c r="A550" s="226"/>
      <c r="B550" s="226"/>
      <c r="C550" s="226"/>
      <c r="D550" s="226"/>
      <c r="E550" s="226"/>
      <c r="F550" s="226"/>
      <c r="G550" s="226"/>
      <c r="H550" s="226"/>
      <c r="I550" s="226"/>
    </row>
    <row r="551" spans="1:9" ht="20.25">
      <c r="A551" s="226"/>
      <c r="B551" s="226"/>
      <c r="C551" s="226"/>
      <c r="D551" s="226"/>
      <c r="E551" s="226"/>
      <c r="F551" s="226"/>
      <c r="G551" s="226"/>
      <c r="H551" s="226"/>
      <c r="I551" s="226"/>
    </row>
    <row r="552" spans="1:9" ht="20.25">
      <c r="A552" s="226"/>
      <c r="B552" s="226"/>
      <c r="C552" s="226"/>
      <c r="D552" s="226"/>
      <c r="E552" s="226"/>
      <c r="F552" s="226"/>
      <c r="G552" s="226"/>
      <c r="H552" s="226"/>
      <c r="I552" s="226"/>
    </row>
    <row r="553" spans="1:9" ht="20.25">
      <c r="A553" s="226"/>
      <c r="B553" s="226"/>
      <c r="C553" s="226"/>
      <c r="D553" s="226"/>
      <c r="E553" s="226"/>
      <c r="F553" s="226"/>
      <c r="G553" s="226"/>
      <c r="H553" s="226"/>
      <c r="I553" s="226"/>
    </row>
    <row r="554" spans="1:9" ht="20.25">
      <c r="A554" s="226"/>
      <c r="B554" s="226"/>
      <c r="C554" s="226"/>
      <c r="D554" s="226"/>
      <c r="E554" s="226"/>
      <c r="F554" s="226"/>
      <c r="G554" s="226"/>
      <c r="H554" s="226"/>
      <c r="I554" s="226"/>
    </row>
    <row r="555" spans="1:9" ht="20.25">
      <c r="A555" s="226"/>
      <c r="B555" s="226"/>
      <c r="C555" s="226"/>
      <c r="D555" s="226"/>
      <c r="E555" s="226"/>
      <c r="F555" s="226"/>
      <c r="G555" s="226"/>
      <c r="H555" s="226"/>
      <c r="I555" s="226"/>
    </row>
    <row r="556" spans="1:9" ht="20.25">
      <c r="A556" s="226"/>
      <c r="B556" s="226"/>
      <c r="C556" s="226"/>
      <c r="D556" s="226"/>
      <c r="E556" s="226"/>
      <c r="F556" s="226"/>
      <c r="G556" s="226"/>
      <c r="H556" s="226"/>
      <c r="I556" s="226"/>
    </row>
    <row r="557" spans="1:9" ht="20.25">
      <c r="A557" s="226"/>
      <c r="B557" s="226"/>
      <c r="C557" s="226"/>
      <c r="D557" s="226"/>
      <c r="E557" s="226"/>
      <c r="F557" s="226"/>
      <c r="G557" s="226"/>
      <c r="H557" s="226"/>
      <c r="I557" s="226"/>
    </row>
    <row r="558" spans="1:9" ht="20.25">
      <c r="A558" s="226"/>
      <c r="B558" s="226"/>
      <c r="C558" s="226"/>
      <c r="D558" s="226"/>
      <c r="E558" s="226"/>
      <c r="F558" s="226"/>
      <c r="G558" s="226"/>
      <c r="H558" s="226"/>
      <c r="I558" s="226"/>
    </row>
    <row r="559" spans="1:9" ht="20.25">
      <c r="A559" s="226"/>
      <c r="B559" s="226"/>
      <c r="C559" s="226"/>
      <c r="D559" s="226"/>
      <c r="E559" s="226"/>
      <c r="F559" s="226"/>
      <c r="G559" s="226"/>
      <c r="H559" s="226"/>
      <c r="I559" s="226"/>
    </row>
    <row r="560" spans="1:9" ht="20.25">
      <c r="A560" s="226"/>
      <c r="B560" s="226"/>
      <c r="C560" s="226"/>
      <c r="D560" s="226"/>
      <c r="E560" s="226"/>
      <c r="F560" s="226"/>
      <c r="G560" s="226"/>
      <c r="H560" s="226"/>
      <c r="I560" s="226"/>
    </row>
    <row r="561" spans="1:9" ht="20.25">
      <c r="A561" s="226"/>
      <c r="B561" s="226"/>
      <c r="C561" s="226"/>
      <c r="D561" s="226"/>
      <c r="E561" s="226"/>
      <c r="F561" s="226"/>
      <c r="G561" s="226"/>
      <c r="H561" s="226"/>
      <c r="I561" s="226"/>
    </row>
    <row r="562" spans="1:9" ht="20.25">
      <c r="A562" s="226"/>
      <c r="B562" s="226"/>
      <c r="C562" s="226"/>
      <c r="D562" s="226"/>
      <c r="E562" s="226"/>
      <c r="F562" s="226"/>
      <c r="G562" s="226"/>
      <c r="H562" s="226"/>
      <c r="I562" s="226"/>
    </row>
    <row r="563" spans="1:9" ht="20.25">
      <c r="A563" s="226"/>
      <c r="B563" s="226"/>
      <c r="C563" s="226"/>
      <c r="D563" s="226"/>
      <c r="E563" s="226"/>
      <c r="F563" s="226"/>
      <c r="G563" s="226"/>
      <c r="H563" s="226"/>
      <c r="I563" s="226"/>
    </row>
    <row r="564" spans="1:9" ht="20.25">
      <c r="A564" s="226"/>
      <c r="B564" s="226"/>
      <c r="C564" s="226"/>
      <c r="D564" s="226"/>
      <c r="E564" s="226"/>
      <c r="F564" s="226"/>
      <c r="G564" s="226"/>
      <c r="H564" s="226"/>
      <c r="I564" s="226"/>
    </row>
    <row r="565" spans="1:9" ht="20.25">
      <c r="A565" s="226"/>
      <c r="B565" s="226"/>
      <c r="C565" s="226"/>
      <c r="D565" s="226"/>
      <c r="E565" s="226"/>
      <c r="F565" s="226"/>
      <c r="G565" s="226"/>
      <c r="H565" s="226"/>
      <c r="I565" s="226"/>
    </row>
    <row r="566" spans="1:9" ht="20.25">
      <c r="A566" s="226"/>
      <c r="B566" s="226"/>
      <c r="C566" s="226"/>
      <c r="D566" s="226"/>
      <c r="E566" s="226"/>
      <c r="F566" s="226"/>
      <c r="G566" s="226"/>
      <c r="H566" s="226"/>
      <c r="I566" s="226"/>
    </row>
    <row r="567" spans="1:9" ht="20.25">
      <c r="A567" s="226"/>
      <c r="B567" s="226"/>
      <c r="C567" s="226"/>
      <c r="D567" s="226"/>
      <c r="E567" s="226"/>
      <c r="F567" s="226"/>
      <c r="G567" s="226"/>
      <c r="H567" s="226"/>
      <c r="I567" s="226"/>
    </row>
    <row r="568" spans="1:9" ht="20.25">
      <c r="A568" s="226"/>
      <c r="B568" s="226"/>
      <c r="C568" s="226"/>
      <c r="D568" s="226"/>
      <c r="E568" s="226"/>
      <c r="F568" s="226"/>
      <c r="G568" s="226"/>
      <c r="H568" s="226"/>
      <c r="I568" s="226"/>
    </row>
    <row r="569" spans="1:9" ht="20.25">
      <c r="A569" s="226"/>
      <c r="B569" s="226"/>
      <c r="C569" s="226"/>
      <c r="D569" s="226"/>
      <c r="E569" s="226"/>
      <c r="F569" s="226"/>
      <c r="G569" s="226"/>
      <c r="H569" s="226"/>
      <c r="I569" s="226"/>
    </row>
    <row r="570" spans="1:9" ht="20.25">
      <c r="A570" s="226"/>
      <c r="B570" s="226"/>
      <c r="C570" s="226"/>
      <c r="D570" s="226"/>
      <c r="E570" s="226"/>
      <c r="F570" s="226"/>
      <c r="G570" s="226"/>
      <c r="H570" s="226"/>
      <c r="I570" s="226"/>
    </row>
    <row r="571" spans="1:9" ht="20.25">
      <c r="A571" s="226"/>
      <c r="B571" s="226"/>
      <c r="C571" s="226"/>
      <c r="D571" s="226"/>
      <c r="E571" s="226"/>
      <c r="F571" s="226"/>
      <c r="G571" s="226"/>
      <c r="H571" s="226"/>
      <c r="I571" s="226"/>
    </row>
    <row r="572" spans="1:9" ht="20.25">
      <c r="A572" s="226"/>
      <c r="B572" s="226"/>
      <c r="C572" s="226"/>
      <c r="D572" s="226"/>
      <c r="E572" s="226"/>
      <c r="F572" s="226"/>
      <c r="G572" s="226"/>
      <c r="H572" s="226"/>
      <c r="I572" s="226"/>
    </row>
    <row r="573" spans="1:9" ht="20.25">
      <c r="A573" s="226"/>
      <c r="B573" s="226"/>
      <c r="C573" s="226"/>
      <c r="D573" s="226"/>
      <c r="E573" s="226"/>
      <c r="F573" s="226"/>
      <c r="G573" s="226"/>
      <c r="H573" s="226"/>
      <c r="I573" s="226"/>
    </row>
    <row r="574" spans="1:9" ht="20.25">
      <c r="A574" s="226"/>
      <c r="B574" s="226"/>
      <c r="C574" s="226"/>
      <c r="D574" s="226"/>
      <c r="E574" s="226"/>
      <c r="F574" s="226"/>
      <c r="G574" s="226"/>
      <c r="H574" s="226"/>
      <c r="I574" s="226"/>
    </row>
    <row r="575" spans="1:9" ht="20.25">
      <c r="A575" s="226"/>
      <c r="B575" s="226"/>
      <c r="C575" s="226"/>
      <c r="D575" s="226"/>
      <c r="E575" s="226"/>
      <c r="F575" s="226"/>
      <c r="G575" s="226"/>
      <c r="H575" s="226"/>
      <c r="I575" s="226"/>
    </row>
    <row r="576" spans="1:9" ht="20.25">
      <c r="A576" s="226"/>
      <c r="B576" s="226"/>
      <c r="C576" s="226"/>
      <c r="D576" s="226"/>
      <c r="E576" s="226"/>
      <c r="F576" s="226"/>
      <c r="G576" s="226"/>
      <c r="H576" s="226"/>
      <c r="I576" s="226"/>
    </row>
    <row r="577" spans="1:9" ht="20.25">
      <c r="A577" s="226"/>
      <c r="B577" s="226"/>
      <c r="C577" s="226"/>
      <c r="D577" s="226"/>
      <c r="E577" s="226"/>
      <c r="F577" s="226"/>
      <c r="G577" s="226"/>
      <c r="H577" s="226"/>
      <c r="I577" s="226"/>
    </row>
    <row r="578" spans="1:9" ht="20.25">
      <c r="A578" s="226"/>
      <c r="B578" s="226"/>
      <c r="C578" s="226"/>
      <c r="D578" s="226"/>
      <c r="E578" s="226"/>
      <c r="F578" s="226"/>
      <c r="G578" s="226"/>
      <c r="H578" s="226"/>
      <c r="I578" s="226"/>
    </row>
    <row r="579" spans="1:9" ht="20.25">
      <c r="A579" s="226"/>
      <c r="B579" s="226"/>
      <c r="C579" s="226"/>
      <c r="D579" s="226"/>
      <c r="E579" s="226"/>
      <c r="F579" s="226"/>
      <c r="G579" s="226"/>
      <c r="H579" s="226"/>
      <c r="I579" s="226"/>
    </row>
    <row r="580" spans="1:9" ht="20.25">
      <c r="A580" s="226"/>
      <c r="B580" s="226"/>
      <c r="C580" s="226"/>
      <c r="D580" s="226"/>
      <c r="E580" s="226"/>
      <c r="F580" s="226"/>
      <c r="G580" s="226"/>
      <c r="H580" s="226"/>
      <c r="I580" s="226"/>
    </row>
    <row r="581" spans="1:9" ht="20.25">
      <c r="A581" s="226"/>
      <c r="B581" s="226"/>
      <c r="C581" s="226"/>
      <c r="D581" s="226"/>
      <c r="E581" s="226"/>
      <c r="F581" s="226"/>
      <c r="G581" s="226"/>
      <c r="H581" s="226"/>
      <c r="I581" s="226"/>
    </row>
    <row r="582" spans="1:9" ht="20.25">
      <c r="A582" s="226"/>
      <c r="B582" s="226"/>
      <c r="C582" s="226"/>
      <c r="D582" s="226"/>
      <c r="E582" s="226"/>
      <c r="F582" s="226"/>
      <c r="G582" s="226"/>
      <c r="H582" s="226"/>
      <c r="I582" s="226"/>
    </row>
    <row r="583" spans="1:9" ht="20.25">
      <c r="A583" s="226"/>
      <c r="B583" s="226"/>
      <c r="C583" s="226"/>
      <c r="D583" s="226"/>
      <c r="E583" s="226"/>
      <c r="F583" s="226"/>
      <c r="G583" s="226"/>
      <c r="H583" s="226"/>
      <c r="I583" s="226"/>
    </row>
    <row r="584" spans="1:9" ht="20.25">
      <c r="A584" s="226"/>
      <c r="B584" s="226"/>
      <c r="C584" s="226"/>
      <c r="D584" s="226"/>
      <c r="E584" s="226"/>
      <c r="F584" s="226"/>
      <c r="G584" s="226"/>
      <c r="H584" s="226"/>
      <c r="I584" s="226"/>
    </row>
    <row r="585" spans="1:9" ht="20.25">
      <c r="A585" s="226"/>
      <c r="B585" s="226"/>
      <c r="C585" s="226"/>
      <c r="D585" s="226"/>
      <c r="E585" s="226"/>
      <c r="F585" s="226"/>
      <c r="G585" s="226"/>
      <c r="H585" s="226"/>
      <c r="I585" s="226"/>
    </row>
    <row r="586" spans="1:9" ht="20.25">
      <c r="A586" s="226"/>
      <c r="B586" s="226"/>
      <c r="C586" s="226"/>
      <c r="D586" s="226"/>
      <c r="E586" s="226"/>
      <c r="F586" s="226"/>
      <c r="G586" s="226"/>
      <c r="H586" s="226"/>
      <c r="I586" s="226"/>
    </row>
    <row r="587" spans="1:9" ht="20.25">
      <c r="A587" s="226"/>
      <c r="B587" s="226"/>
      <c r="C587" s="226"/>
      <c r="D587" s="226"/>
      <c r="E587" s="226"/>
      <c r="F587" s="226"/>
      <c r="G587" s="226"/>
      <c r="H587" s="226"/>
      <c r="I587" s="226"/>
    </row>
    <row r="588" spans="1:9" ht="20.25">
      <c r="A588" s="226"/>
      <c r="B588" s="226"/>
      <c r="C588" s="226"/>
      <c r="D588" s="226"/>
      <c r="E588" s="226"/>
      <c r="F588" s="226"/>
      <c r="G588" s="226"/>
      <c r="H588" s="226"/>
      <c r="I588" s="226"/>
    </row>
    <row r="589" spans="1:9" ht="20.25">
      <c r="A589" s="226"/>
      <c r="B589" s="226"/>
      <c r="C589" s="226"/>
      <c r="D589" s="226"/>
      <c r="E589" s="226"/>
      <c r="F589" s="226"/>
      <c r="G589" s="226"/>
      <c r="H589" s="226"/>
      <c r="I589" s="226"/>
    </row>
    <row r="590" spans="1:9" ht="20.25">
      <c r="A590" s="226"/>
      <c r="B590" s="226"/>
      <c r="C590" s="226"/>
      <c r="D590" s="226"/>
      <c r="E590" s="226"/>
      <c r="F590" s="226"/>
      <c r="G590" s="226"/>
      <c r="H590" s="226"/>
      <c r="I590" s="226"/>
    </row>
    <row r="591" spans="1:9" ht="20.25">
      <c r="A591" s="226"/>
      <c r="B591" s="226"/>
      <c r="C591" s="226"/>
      <c r="D591" s="226"/>
      <c r="E591" s="226"/>
      <c r="F591" s="226"/>
      <c r="G591" s="226"/>
      <c r="H591" s="226"/>
      <c r="I591" s="226"/>
    </row>
    <row r="592" spans="1:9" ht="20.25">
      <c r="A592" s="226"/>
      <c r="B592" s="226"/>
      <c r="C592" s="226"/>
      <c r="D592" s="226"/>
      <c r="E592" s="226"/>
      <c r="F592" s="226"/>
      <c r="G592" s="226"/>
      <c r="H592" s="226"/>
      <c r="I592" s="226"/>
    </row>
    <row r="593" spans="1:9" ht="20.25">
      <c r="A593" s="226"/>
      <c r="B593" s="226"/>
      <c r="C593" s="226"/>
      <c r="D593" s="226"/>
      <c r="E593" s="226"/>
      <c r="F593" s="226"/>
      <c r="G593" s="226"/>
      <c r="H593" s="226"/>
      <c r="I593" s="226"/>
    </row>
    <row r="594" spans="1:9" ht="20.25">
      <c r="A594" s="226"/>
      <c r="B594" s="226"/>
      <c r="C594" s="226"/>
      <c r="D594" s="226"/>
      <c r="E594" s="226"/>
      <c r="F594" s="226"/>
      <c r="G594" s="226"/>
      <c r="H594" s="226"/>
      <c r="I594" s="226"/>
    </row>
    <row r="595" spans="1:9" ht="20.25">
      <c r="A595" s="226"/>
      <c r="B595" s="226"/>
      <c r="C595" s="226"/>
      <c r="D595" s="226"/>
      <c r="E595" s="226"/>
      <c r="F595" s="226"/>
      <c r="G595" s="226"/>
      <c r="H595" s="226"/>
      <c r="I595" s="226"/>
    </row>
    <row r="596" spans="1:9" ht="20.25">
      <c r="A596" s="226"/>
      <c r="B596" s="226"/>
      <c r="C596" s="226"/>
      <c r="D596" s="226"/>
      <c r="E596" s="226"/>
      <c r="F596" s="226"/>
      <c r="G596" s="226"/>
      <c r="H596" s="226"/>
      <c r="I596" s="226"/>
    </row>
    <row r="597" spans="1:9" ht="20.25">
      <c r="A597" s="226"/>
      <c r="B597" s="226"/>
      <c r="C597" s="226"/>
      <c r="D597" s="226"/>
      <c r="E597" s="226"/>
      <c r="F597" s="226"/>
      <c r="G597" s="226"/>
      <c r="H597" s="226"/>
      <c r="I597" s="226"/>
    </row>
    <row r="598" spans="1:9" ht="20.25">
      <c r="A598" s="226"/>
      <c r="B598" s="226"/>
      <c r="C598" s="226"/>
      <c r="D598" s="226"/>
      <c r="E598" s="226"/>
      <c r="F598" s="226"/>
      <c r="G598" s="226"/>
      <c r="H598" s="226"/>
      <c r="I598" s="226"/>
    </row>
    <row r="599" spans="1:9" ht="20.25">
      <c r="A599" s="226"/>
      <c r="B599" s="226"/>
      <c r="C599" s="226"/>
      <c r="D599" s="226"/>
      <c r="E599" s="226"/>
      <c r="F599" s="226"/>
      <c r="G599" s="226"/>
      <c r="H599" s="226"/>
      <c r="I599" s="226"/>
    </row>
    <row r="600" spans="1:9" ht="20.25">
      <c r="A600" s="226"/>
      <c r="B600" s="226"/>
      <c r="C600" s="226"/>
      <c r="D600" s="226"/>
      <c r="E600" s="226"/>
      <c r="F600" s="226"/>
      <c r="G600" s="226"/>
      <c r="H600" s="226"/>
      <c r="I600" s="226"/>
    </row>
    <row r="601" spans="1:9" ht="20.25">
      <c r="A601" s="226"/>
      <c r="B601" s="226"/>
      <c r="C601" s="226"/>
      <c r="D601" s="226"/>
      <c r="E601" s="226"/>
      <c r="F601" s="226"/>
      <c r="G601" s="226"/>
      <c r="H601" s="226"/>
      <c r="I601" s="226"/>
    </row>
    <row r="602" spans="1:9" ht="20.25">
      <c r="A602" s="226"/>
      <c r="B602" s="226"/>
      <c r="C602" s="226"/>
      <c r="D602" s="226"/>
      <c r="E602" s="226"/>
      <c r="F602" s="226"/>
      <c r="G602" s="226"/>
      <c r="H602" s="226"/>
      <c r="I602" s="226"/>
    </row>
    <row r="603" spans="1:9" ht="20.25">
      <c r="A603" s="226"/>
      <c r="B603" s="226"/>
      <c r="C603" s="226"/>
      <c r="D603" s="226"/>
      <c r="E603" s="226"/>
      <c r="F603" s="226"/>
      <c r="G603" s="226"/>
      <c r="H603" s="226"/>
      <c r="I603" s="226"/>
    </row>
    <row r="604" spans="1:9" ht="20.25">
      <c r="A604" s="226"/>
      <c r="B604" s="226"/>
      <c r="C604" s="226"/>
      <c r="D604" s="226"/>
      <c r="E604" s="226"/>
      <c r="F604" s="226"/>
      <c r="G604" s="226"/>
      <c r="H604" s="226"/>
      <c r="I604" s="226"/>
    </row>
    <row r="605" spans="1:9" ht="20.25">
      <c r="A605" s="226"/>
      <c r="B605" s="226"/>
      <c r="C605" s="226"/>
      <c r="D605" s="226"/>
      <c r="E605" s="226"/>
      <c r="F605" s="226"/>
      <c r="G605" s="226"/>
      <c r="H605" s="226"/>
      <c r="I605" s="226"/>
    </row>
    <row r="606" spans="1:9" ht="20.25">
      <c r="A606" s="226"/>
      <c r="B606" s="226"/>
      <c r="C606" s="226"/>
      <c r="D606" s="226"/>
      <c r="E606" s="226"/>
      <c r="F606" s="226"/>
      <c r="G606" s="226"/>
      <c r="H606" s="226"/>
      <c r="I606" s="226"/>
    </row>
    <row r="607" spans="1:9" ht="20.25">
      <c r="A607" s="226"/>
      <c r="B607" s="226"/>
      <c r="C607" s="226"/>
      <c r="D607" s="226"/>
      <c r="E607" s="226"/>
      <c r="F607" s="226"/>
      <c r="G607" s="226"/>
      <c r="H607" s="226"/>
      <c r="I607" s="226"/>
    </row>
    <row r="608" spans="1:9" ht="20.25">
      <c r="A608" s="226"/>
      <c r="B608" s="226"/>
      <c r="C608" s="226"/>
      <c r="D608" s="226"/>
      <c r="E608" s="226"/>
      <c r="F608" s="226"/>
      <c r="G608" s="226"/>
      <c r="H608" s="226"/>
      <c r="I608" s="226"/>
    </row>
    <row r="609" spans="1:9" ht="20.25">
      <c r="A609" s="226"/>
      <c r="B609" s="226"/>
      <c r="C609" s="226"/>
      <c r="D609" s="226"/>
      <c r="E609" s="226"/>
      <c r="F609" s="226"/>
      <c r="G609" s="226"/>
      <c r="H609" s="226"/>
      <c r="I609" s="226"/>
    </row>
    <row r="610" spans="1:9" ht="20.25">
      <c r="A610" s="226"/>
      <c r="B610" s="226"/>
      <c r="C610" s="226"/>
      <c r="D610" s="226"/>
      <c r="E610" s="226"/>
      <c r="F610" s="226"/>
      <c r="G610" s="226"/>
      <c r="H610" s="226"/>
      <c r="I610" s="226"/>
    </row>
    <row r="611" spans="1:9" ht="20.25">
      <c r="A611" s="226"/>
      <c r="B611" s="226"/>
      <c r="C611" s="226"/>
      <c r="D611" s="226"/>
      <c r="E611" s="226"/>
      <c r="F611" s="226"/>
      <c r="G611" s="226"/>
      <c r="H611" s="226"/>
      <c r="I611" s="226"/>
    </row>
    <row r="612" spans="1:9" ht="20.25">
      <c r="A612" s="226"/>
      <c r="B612" s="226"/>
      <c r="C612" s="226"/>
      <c r="D612" s="226"/>
      <c r="E612" s="226"/>
      <c r="F612" s="226"/>
      <c r="G612" s="226"/>
      <c r="H612" s="226"/>
      <c r="I612" s="226"/>
    </row>
    <row r="613" spans="1:9" ht="20.25">
      <c r="A613" s="226"/>
      <c r="B613" s="226"/>
      <c r="C613" s="226"/>
      <c r="D613" s="226"/>
      <c r="E613" s="226"/>
      <c r="F613" s="226"/>
      <c r="G613" s="226"/>
      <c r="H613" s="226"/>
      <c r="I613" s="226"/>
    </row>
    <row r="614" spans="1:9" ht="20.25">
      <c r="A614" s="226"/>
      <c r="B614" s="226"/>
      <c r="C614" s="226"/>
      <c r="D614" s="226"/>
      <c r="E614" s="226"/>
      <c r="F614" s="226"/>
      <c r="G614" s="226"/>
      <c r="H614" s="226"/>
      <c r="I614" s="226"/>
    </row>
    <row r="615" spans="1:9" ht="20.25">
      <c r="A615" s="226"/>
      <c r="B615" s="226"/>
      <c r="C615" s="226"/>
      <c r="D615" s="226"/>
      <c r="E615" s="226"/>
      <c r="F615" s="226"/>
      <c r="G615" s="226"/>
      <c r="H615" s="226"/>
      <c r="I615" s="226"/>
    </row>
    <row r="616" spans="1:9" ht="20.25">
      <c r="A616" s="226"/>
      <c r="B616" s="226"/>
      <c r="C616" s="226"/>
      <c r="D616" s="226"/>
      <c r="E616" s="226"/>
      <c r="F616" s="226"/>
      <c r="G616" s="226"/>
      <c r="H616" s="226"/>
      <c r="I616" s="226"/>
    </row>
    <row r="617" spans="1:9" ht="20.25">
      <c r="A617" s="226"/>
      <c r="B617" s="226"/>
      <c r="C617" s="226"/>
      <c r="D617" s="226"/>
      <c r="E617" s="226"/>
      <c r="F617" s="226"/>
      <c r="G617" s="226"/>
      <c r="H617" s="226"/>
      <c r="I617" s="226"/>
    </row>
    <row r="618" spans="1:9" ht="20.25">
      <c r="A618" s="226"/>
      <c r="B618" s="226"/>
      <c r="C618" s="226"/>
      <c r="D618" s="226"/>
      <c r="E618" s="226"/>
      <c r="F618" s="226"/>
      <c r="G618" s="226"/>
      <c r="H618" s="226"/>
      <c r="I618" s="226"/>
    </row>
    <row r="619" spans="1:9" ht="20.25">
      <c r="A619" s="226"/>
      <c r="B619" s="226"/>
      <c r="C619" s="226"/>
      <c r="D619" s="226"/>
      <c r="E619" s="226"/>
      <c r="F619" s="226"/>
      <c r="G619" s="226"/>
      <c r="H619" s="226"/>
      <c r="I619" s="226"/>
    </row>
    <row r="620" spans="1:9" ht="20.25">
      <c r="A620" s="226"/>
      <c r="B620" s="226"/>
      <c r="C620" s="226"/>
      <c r="D620" s="226"/>
      <c r="E620" s="226"/>
      <c r="F620" s="226"/>
      <c r="G620" s="226"/>
      <c r="H620" s="226"/>
      <c r="I620" s="226"/>
    </row>
    <row r="621" spans="1:9" ht="20.25">
      <c r="A621" s="226"/>
      <c r="B621" s="226"/>
      <c r="C621" s="226"/>
      <c r="D621" s="226"/>
      <c r="E621" s="226"/>
      <c r="F621" s="226"/>
      <c r="G621" s="226"/>
      <c r="H621" s="226"/>
      <c r="I621" s="226"/>
    </row>
    <row r="622" spans="1:9" ht="20.25">
      <c r="A622" s="226"/>
      <c r="B622" s="226"/>
      <c r="C622" s="226"/>
      <c r="D622" s="226"/>
      <c r="E622" s="226"/>
      <c r="F622" s="226"/>
      <c r="G622" s="226"/>
      <c r="H622" s="226"/>
      <c r="I622" s="226"/>
    </row>
    <row r="623" spans="1:9" ht="20.25">
      <c r="A623" s="226"/>
      <c r="B623" s="226"/>
      <c r="C623" s="226"/>
      <c r="D623" s="226"/>
      <c r="E623" s="226"/>
      <c r="F623" s="226"/>
      <c r="G623" s="226"/>
      <c r="H623" s="226"/>
      <c r="I623" s="226"/>
    </row>
    <row r="624" spans="1:9" ht="20.25">
      <c r="A624" s="226"/>
      <c r="B624" s="226"/>
      <c r="C624" s="226"/>
      <c r="D624" s="226"/>
      <c r="E624" s="226"/>
      <c r="F624" s="226"/>
      <c r="G624" s="226"/>
      <c r="H624" s="226"/>
      <c r="I624" s="226"/>
    </row>
    <row r="625" spans="1:9" ht="20.25">
      <c r="A625" s="226"/>
      <c r="B625" s="226"/>
      <c r="C625" s="226"/>
      <c r="D625" s="226"/>
      <c r="E625" s="226"/>
      <c r="F625" s="226"/>
      <c r="G625" s="226"/>
      <c r="H625" s="226"/>
      <c r="I625" s="226"/>
    </row>
    <row r="626" spans="1:9" ht="20.25">
      <c r="A626" s="226"/>
      <c r="B626" s="226"/>
      <c r="C626" s="226"/>
      <c r="D626" s="226"/>
      <c r="E626" s="226"/>
      <c r="F626" s="226"/>
      <c r="G626" s="226"/>
      <c r="H626" s="226"/>
      <c r="I626" s="226"/>
    </row>
    <row r="627" spans="1:9" ht="20.25">
      <c r="A627" s="226"/>
      <c r="B627" s="226"/>
      <c r="C627" s="226"/>
      <c r="D627" s="226"/>
      <c r="E627" s="226"/>
      <c r="F627" s="226"/>
      <c r="G627" s="226"/>
      <c r="H627" s="226"/>
      <c r="I627" s="226"/>
    </row>
    <row r="628" spans="1:9" ht="20.25">
      <c r="A628" s="226"/>
      <c r="B628" s="226"/>
      <c r="C628" s="226"/>
      <c r="D628" s="226"/>
      <c r="E628" s="226"/>
      <c r="F628" s="226"/>
      <c r="G628" s="226"/>
      <c r="H628" s="226"/>
      <c r="I628" s="226"/>
    </row>
    <row r="629" spans="1:9" ht="20.25">
      <c r="A629" s="226"/>
      <c r="B629" s="226"/>
      <c r="C629" s="226"/>
      <c r="D629" s="226"/>
      <c r="E629" s="226"/>
      <c r="F629" s="226"/>
      <c r="G629" s="226"/>
      <c r="H629" s="226"/>
      <c r="I629" s="226"/>
    </row>
    <row r="630" spans="1:9" ht="20.25">
      <c r="A630" s="226"/>
      <c r="B630" s="226"/>
      <c r="C630" s="226"/>
      <c r="D630" s="226"/>
      <c r="E630" s="226"/>
      <c r="F630" s="226"/>
      <c r="G630" s="226"/>
      <c r="H630" s="226"/>
      <c r="I630" s="226"/>
    </row>
    <row r="631" spans="1:9" ht="20.25">
      <c r="A631" s="226"/>
      <c r="B631" s="226"/>
      <c r="C631" s="226"/>
      <c r="D631" s="226"/>
      <c r="E631" s="226"/>
      <c r="F631" s="226"/>
      <c r="G631" s="226"/>
      <c r="H631" s="226"/>
      <c r="I631" s="226"/>
    </row>
    <row r="632" spans="1:9" ht="20.25">
      <c r="A632" s="226"/>
      <c r="B632" s="226"/>
      <c r="C632" s="226"/>
      <c r="D632" s="226"/>
      <c r="E632" s="226"/>
      <c r="F632" s="226"/>
      <c r="G632" s="226"/>
      <c r="H632" s="226"/>
      <c r="I632" s="226"/>
    </row>
    <row r="633" spans="1:9" ht="20.25">
      <c r="A633" s="226"/>
      <c r="B633" s="226"/>
      <c r="C633" s="226"/>
      <c r="D633" s="226"/>
      <c r="E633" s="226"/>
      <c r="F633" s="226"/>
      <c r="G633" s="226"/>
      <c r="H633" s="226"/>
      <c r="I633" s="226"/>
    </row>
    <row r="634" spans="1:9" ht="20.25">
      <c r="A634" s="226"/>
      <c r="B634" s="226"/>
      <c r="C634" s="226"/>
      <c r="D634" s="226"/>
      <c r="E634" s="226"/>
      <c r="F634" s="226"/>
      <c r="G634" s="226"/>
      <c r="H634" s="226"/>
      <c r="I634" s="226"/>
    </row>
    <row r="635" spans="1:9" ht="20.25">
      <c r="A635" s="226"/>
      <c r="B635" s="226"/>
      <c r="C635" s="226"/>
      <c r="D635" s="226"/>
      <c r="E635" s="226"/>
      <c r="F635" s="226"/>
      <c r="G635" s="226"/>
      <c r="H635" s="226"/>
      <c r="I635" s="226"/>
    </row>
    <row r="636" spans="1:9" ht="20.25">
      <c r="A636" s="226"/>
      <c r="B636" s="226"/>
      <c r="C636" s="226"/>
      <c r="D636" s="226"/>
      <c r="E636" s="226"/>
      <c r="F636" s="226"/>
      <c r="G636" s="226"/>
      <c r="H636" s="226"/>
      <c r="I636" s="226"/>
    </row>
    <row r="637" spans="1:9" ht="20.25">
      <c r="A637" s="226"/>
      <c r="B637" s="226"/>
      <c r="C637" s="226"/>
      <c r="D637" s="226"/>
      <c r="E637" s="226"/>
      <c r="F637" s="226"/>
      <c r="G637" s="226"/>
      <c r="H637" s="226"/>
      <c r="I637" s="226"/>
    </row>
    <row r="638" spans="1:9" ht="20.25">
      <c r="A638" s="226"/>
      <c r="B638" s="226"/>
      <c r="C638" s="226"/>
      <c r="D638" s="226"/>
      <c r="E638" s="226"/>
      <c r="F638" s="226"/>
      <c r="G638" s="226"/>
      <c r="H638" s="226"/>
      <c r="I638" s="226"/>
    </row>
    <row r="639" spans="1:9" ht="20.25">
      <c r="A639" s="226"/>
      <c r="B639" s="226"/>
      <c r="C639" s="226"/>
      <c r="D639" s="226"/>
      <c r="E639" s="226"/>
      <c r="F639" s="226"/>
      <c r="G639" s="226"/>
      <c r="H639" s="226"/>
      <c r="I639" s="226"/>
    </row>
    <row r="640" spans="1:9" ht="20.25">
      <c r="A640" s="226"/>
      <c r="B640" s="226"/>
      <c r="C640" s="226"/>
      <c r="D640" s="226"/>
      <c r="E640" s="226"/>
      <c r="F640" s="226"/>
      <c r="G640" s="226"/>
      <c r="H640" s="226"/>
      <c r="I640" s="226"/>
    </row>
    <row r="641" spans="1:9" ht="20.25">
      <c r="A641" s="226"/>
      <c r="B641" s="226"/>
      <c r="C641" s="226"/>
      <c r="D641" s="226"/>
      <c r="E641" s="226"/>
      <c r="F641" s="226"/>
      <c r="G641" s="226"/>
      <c r="H641" s="226"/>
      <c r="I641" s="226"/>
    </row>
    <row r="642" spans="1:9" ht="20.25">
      <c r="A642" s="226"/>
      <c r="B642" s="226"/>
      <c r="C642" s="226"/>
      <c r="D642" s="226"/>
      <c r="E642" s="226"/>
      <c r="F642" s="226"/>
      <c r="G642" s="226"/>
      <c r="H642" s="226"/>
      <c r="I642" s="226"/>
    </row>
    <row r="643" spans="1:9" ht="20.25">
      <c r="A643" s="226"/>
      <c r="B643" s="226"/>
      <c r="C643" s="226"/>
      <c r="D643" s="226"/>
      <c r="E643" s="226"/>
      <c r="F643" s="226"/>
      <c r="G643" s="226"/>
      <c r="H643" s="226"/>
      <c r="I643" s="226"/>
    </row>
    <row r="644" spans="1:9" ht="20.25">
      <c r="A644" s="226"/>
      <c r="B644" s="226"/>
      <c r="C644" s="226"/>
      <c r="D644" s="226"/>
      <c r="E644" s="226"/>
      <c r="F644" s="226"/>
      <c r="G644" s="226"/>
      <c r="H644" s="226"/>
      <c r="I644" s="226"/>
    </row>
    <row r="645" spans="1:9" ht="20.25">
      <c r="A645" s="226"/>
      <c r="B645" s="226"/>
      <c r="C645" s="226"/>
      <c r="D645" s="226"/>
      <c r="E645" s="226"/>
      <c r="F645" s="226"/>
      <c r="G645" s="226"/>
      <c r="H645" s="226"/>
      <c r="I645" s="226"/>
    </row>
    <row r="646" spans="1:9" ht="20.25">
      <c r="A646" s="226"/>
      <c r="B646" s="226"/>
      <c r="C646" s="226"/>
      <c r="D646" s="226"/>
      <c r="E646" s="226"/>
      <c r="F646" s="226"/>
      <c r="G646" s="226"/>
      <c r="H646" s="226"/>
      <c r="I646" s="226"/>
    </row>
    <row r="647" spans="1:9" ht="20.25">
      <c r="A647" s="226"/>
      <c r="B647" s="226"/>
      <c r="C647" s="226"/>
      <c r="D647" s="226"/>
      <c r="E647" s="226"/>
      <c r="F647" s="226"/>
      <c r="G647" s="226"/>
      <c r="H647" s="226"/>
      <c r="I647" s="226"/>
    </row>
    <row r="648" spans="1:9" ht="20.25">
      <c r="A648" s="226"/>
      <c r="B648" s="226"/>
      <c r="C648" s="226"/>
      <c r="D648" s="226"/>
      <c r="E648" s="226"/>
      <c r="F648" s="226"/>
      <c r="G648" s="226"/>
      <c r="H648" s="226"/>
      <c r="I648" s="226"/>
    </row>
    <row r="649" spans="1:9" ht="20.25">
      <c r="A649" s="226"/>
      <c r="B649" s="226"/>
      <c r="C649" s="226"/>
      <c r="D649" s="226"/>
      <c r="E649" s="226"/>
      <c r="F649" s="226"/>
      <c r="G649" s="226"/>
      <c r="H649" s="226"/>
      <c r="I649" s="226"/>
    </row>
    <row r="650" spans="1:9" ht="20.25">
      <c r="A650" s="226"/>
      <c r="B650" s="226"/>
      <c r="C650" s="226"/>
      <c r="D650" s="226"/>
      <c r="E650" s="226"/>
      <c r="F650" s="226"/>
      <c r="G650" s="226"/>
      <c r="H650" s="226"/>
      <c r="I650" s="226"/>
    </row>
    <row r="651" spans="1:9" ht="20.25">
      <c r="A651" s="226"/>
      <c r="B651" s="226"/>
      <c r="C651" s="226"/>
      <c r="D651" s="226"/>
      <c r="E651" s="226"/>
      <c r="F651" s="226"/>
      <c r="G651" s="226"/>
      <c r="H651" s="226"/>
      <c r="I651" s="226"/>
    </row>
    <row r="652" spans="1:9" ht="20.25">
      <c r="A652" s="226"/>
      <c r="B652" s="226"/>
      <c r="C652" s="226"/>
      <c r="D652" s="226"/>
      <c r="E652" s="226"/>
      <c r="F652" s="226"/>
      <c r="G652" s="226"/>
      <c r="H652" s="226"/>
      <c r="I652" s="226"/>
    </row>
    <row r="653" spans="1:9" ht="20.25">
      <c r="A653" s="226"/>
      <c r="B653" s="226"/>
      <c r="C653" s="226"/>
      <c r="D653" s="226"/>
      <c r="E653" s="226"/>
      <c r="F653" s="226"/>
      <c r="G653" s="226"/>
      <c r="H653" s="226"/>
      <c r="I653" s="226"/>
    </row>
    <row r="654" spans="1:9" ht="20.25">
      <c r="A654" s="226"/>
      <c r="B654" s="226"/>
      <c r="C654" s="226"/>
      <c r="D654" s="226"/>
      <c r="E654" s="226"/>
      <c r="F654" s="226"/>
      <c r="G654" s="226"/>
      <c r="H654" s="226"/>
      <c r="I654" s="226"/>
    </row>
    <row r="655" spans="1:9" ht="20.25">
      <c r="A655" s="226"/>
      <c r="B655" s="226"/>
      <c r="C655" s="226"/>
      <c r="D655" s="226"/>
      <c r="E655" s="226"/>
      <c r="F655" s="226"/>
      <c r="G655" s="226"/>
      <c r="H655" s="226"/>
      <c r="I655" s="226"/>
    </row>
    <row r="656" spans="1:9" ht="20.25">
      <c r="A656" s="226"/>
      <c r="B656" s="226"/>
      <c r="C656" s="226"/>
      <c r="D656" s="226"/>
      <c r="E656" s="226"/>
      <c r="F656" s="226"/>
      <c r="G656" s="226"/>
      <c r="H656" s="226"/>
      <c r="I656" s="226"/>
    </row>
    <row r="657" spans="1:9" ht="20.25">
      <c r="A657" s="226"/>
      <c r="B657" s="226"/>
      <c r="C657" s="226"/>
      <c r="D657" s="226"/>
      <c r="E657" s="226"/>
      <c r="F657" s="226"/>
      <c r="G657" s="226"/>
      <c r="H657" s="226"/>
      <c r="I657" s="226"/>
    </row>
    <row r="658" spans="1:9" ht="20.25">
      <c r="A658" s="226"/>
      <c r="B658" s="226"/>
      <c r="C658" s="226"/>
      <c r="D658" s="226"/>
      <c r="E658" s="226"/>
      <c r="F658" s="226"/>
      <c r="G658" s="226"/>
      <c r="H658" s="226"/>
      <c r="I658" s="226"/>
    </row>
    <row r="659" spans="1:9" ht="20.25">
      <c r="A659" s="226"/>
      <c r="B659" s="226"/>
      <c r="C659" s="226"/>
      <c r="D659" s="226"/>
      <c r="E659" s="226"/>
      <c r="F659" s="226"/>
      <c r="G659" s="226"/>
      <c r="H659" s="226"/>
      <c r="I659" s="226"/>
    </row>
    <row r="660" spans="1:9" ht="20.25">
      <c r="A660" s="226"/>
      <c r="B660" s="226"/>
      <c r="C660" s="226"/>
      <c r="D660" s="226"/>
      <c r="E660" s="226"/>
      <c r="F660" s="226"/>
      <c r="G660" s="226"/>
      <c r="H660" s="226"/>
      <c r="I660" s="226"/>
    </row>
    <row r="661" spans="1:9" ht="20.25">
      <c r="A661" s="226"/>
      <c r="B661" s="226"/>
      <c r="C661" s="226"/>
      <c r="D661" s="226"/>
      <c r="E661" s="226"/>
      <c r="F661" s="226"/>
      <c r="G661" s="226"/>
      <c r="H661" s="226"/>
      <c r="I661" s="226"/>
    </row>
    <row r="662" spans="1:9" ht="20.25">
      <c r="A662" s="226"/>
      <c r="B662" s="226"/>
      <c r="C662" s="226"/>
      <c r="D662" s="226"/>
      <c r="E662" s="226"/>
      <c r="F662" s="226"/>
      <c r="G662" s="226"/>
      <c r="H662" s="226"/>
      <c r="I662" s="226"/>
    </row>
    <row r="663" spans="1:9" ht="20.25">
      <c r="A663" s="226"/>
      <c r="B663" s="226"/>
      <c r="C663" s="226"/>
      <c r="D663" s="226"/>
      <c r="E663" s="226"/>
      <c r="F663" s="226"/>
      <c r="G663" s="226"/>
      <c r="H663" s="226"/>
      <c r="I663" s="226"/>
    </row>
    <row r="664" spans="1:9" ht="20.25">
      <c r="A664" s="226"/>
      <c r="B664" s="226"/>
      <c r="C664" s="226"/>
      <c r="D664" s="226"/>
      <c r="E664" s="226"/>
      <c r="F664" s="226"/>
      <c r="G664" s="226"/>
      <c r="H664" s="226"/>
      <c r="I664" s="226"/>
    </row>
    <row r="665" spans="1:9" ht="20.25">
      <c r="A665" s="226"/>
      <c r="B665" s="226"/>
      <c r="C665" s="226"/>
      <c r="D665" s="226"/>
      <c r="E665" s="226"/>
      <c r="F665" s="226"/>
      <c r="G665" s="226"/>
      <c r="H665" s="226"/>
      <c r="I665" s="226"/>
    </row>
    <row r="666" spans="1:9" ht="20.25">
      <c r="A666" s="226"/>
      <c r="B666" s="226"/>
      <c r="C666" s="226"/>
      <c r="D666" s="226"/>
      <c r="E666" s="226"/>
      <c r="F666" s="226"/>
      <c r="G666" s="226"/>
      <c r="H666" s="226"/>
      <c r="I666" s="226"/>
    </row>
    <row r="667" spans="1:9" ht="20.25">
      <c r="A667" s="226"/>
      <c r="B667" s="226"/>
      <c r="C667" s="226"/>
      <c r="D667" s="226"/>
      <c r="E667" s="226"/>
      <c r="F667" s="226"/>
      <c r="G667" s="226"/>
      <c r="H667" s="226"/>
      <c r="I667" s="226"/>
    </row>
    <row r="668" spans="1:9" ht="20.25">
      <c r="A668" s="226"/>
      <c r="B668" s="226"/>
      <c r="C668" s="226"/>
      <c r="D668" s="226"/>
      <c r="E668" s="226"/>
      <c r="F668" s="226"/>
      <c r="G668" s="226"/>
      <c r="H668" s="226"/>
      <c r="I668" s="226"/>
    </row>
    <row r="669" spans="1:9" ht="20.25">
      <c r="A669" s="226"/>
      <c r="B669" s="226"/>
      <c r="C669" s="226"/>
      <c r="D669" s="226"/>
      <c r="E669" s="226"/>
      <c r="F669" s="226"/>
      <c r="G669" s="226"/>
      <c r="H669" s="226"/>
      <c r="I669" s="226"/>
    </row>
    <row r="670" spans="1:9" ht="20.25">
      <c r="A670" s="226"/>
      <c r="B670" s="226"/>
      <c r="C670" s="226"/>
      <c r="D670" s="226"/>
      <c r="E670" s="226"/>
      <c r="F670" s="226"/>
      <c r="G670" s="226"/>
      <c r="H670" s="226"/>
      <c r="I670" s="226"/>
    </row>
    <row r="671" spans="1:9" ht="20.25">
      <c r="A671" s="226"/>
      <c r="B671" s="226"/>
      <c r="C671" s="226"/>
      <c r="D671" s="226"/>
      <c r="E671" s="226"/>
      <c r="F671" s="226"/>
      <c r="G671" s="226"/>
      <c r="H671" s="226"/>
      <c r="I671" s="226"/>
    </row>
    <row r="672" spans="1:9" ht="20.25">
      <c r="A672" s="226"/>
      <c r="B672" s="226"/>
      <c r="C672" s="226"/>
      <c r="D672" s="226"/>
      <c r="E672" s="226"/>
      <c r="F672" s="226"/>
      <c r="G672" s="226"/>
      <c r="H672" s="226"/>
      <c r="I672" s="226"/>
    </row>
    <row r="673" spans="1:9" ht="20.25">
      <c r="A673" s="226"/>
      <c r="B673" s="226"/>
      <c r="C673" s="226"/>
      <c r="D673" s="226"/>
      <c r="E673" s="226"/>
      <c r="F673" s="226"/>
      <c r="G673" s="226"/>
      <c r="H673" s="226"/>
      <c r="I673" s="226"/>
    </row>
    <row r="674" spans="1:9" ht="20.25">
      <c r="A674" s="226"/>
      <c r="B674" s="226"/>
      <c r="C674" s="226"/>
      <c r="D674" s="226"/>
      <c r="E674" s="226"/>
      <c r="F674" s="226"/>
      <c r="G674" s="226"/>
      <c r="H674" s="226"/>
      <c r="I674" s="226"/>
    </row>
    <row r="675" spans="1:9" ht="20.25">
      <c r="A675" s="226"/>
      <c r="B675" s="226"/>
      <c r="C675" s="226"/>
      <c r="D675" s="226"/>
      <c r="E675" s="226"/>
      <c r="F675" s="226"/>
      <c r="G675" s="226"/>
      <c r="H675" s="226"/>
      <c r="I675" s="226"/>
    </row>
    <row r="676" spans="1:9" ht="20.25">
      <c r="A676" s="226"/>
      <c r="B676" s="226"/>
      <c r="C676" s="226"/>
      <c r="D676" s="226"/>
      <c r="E676" s="226"/>
      <c r="F676" s="226"/>
      <c r="G676" s="226"/>
      <c r="H676" s="226"/>
      <c r="I676" s="226"/>
    </row>
    <row r="677" spans="1:9" ht="20.25">
      <c r="A677" s="226"/>
      <c r="B677" s="226"/>
      <c r="C677" s="226"/>
      <c r="D677" s="226"/>
      <c r="E677" s="226"/>
      <c r="F677" s="226"/>
      <c r="G677" s="226"/>
      <c r="H677" s="226"/>
      <c r="I677" s="226"/>
    </row>
    <row r="678" spans="1:9" ht="20.25">
      <c r="A678" s="226"/>
      <c r="B678" s="226"/>
      <c r="C678" s="226"/>
      <c r="D678" s="226"/>
      <c r="E678" s="226"/>
      <c r="F678" s="226"/>
      <c r="G678" s="226"/>
      <c r="H678" s="226"/>
      <c r="I678" s="226"/>
    </row>
    <row r="679" spans="1:9" ht="20.25">
      <c r="A679" s="226"/>
      <c r="B679" s="226"/>
      <c r="C679" s="226"/>
      <c r="D679" s="226"/>
      <c r="E679" s="226"/>
      <c r="F679" s="226"/>
      <c r="G679" s="226"/>
      <c r="H679" s="226"/>
      <c r="I679" s="226"/>
    </row>
    <row r="680" spans="1:9" ht="20.25">
      <c r="A680" s="226"/>
      <c r="B680" s="226"/>
      <c r="C680" s="226"/>
      <c r="D680" s="226"/>
      <c r="E680" s="226"/>
      <c r="F680" s="226"/>
      <c r="G680" s="226"/>
      <c r="H680" s="226"/>
      <c r="I680" s="226"/>
    </row>
    <row r="681" spans="1:9" ht="20.25">
      <c r="A681" s="226"/>
      <c r="B681" s="226"/>
      <c r="C681" s="226"/>
      <c r="D681" s="226"/>
      <c r="E681" s="226"/>
      <c r="F681" s="226"/>
      <c r="G681" s="226"/>
      <c r="H681" s="226"/>
      <c r="I681" s="226"/>
    </row>
    <row r="682" spans="1:9" ht="20.25">
      <c r="A682" s="226"/>
      <c r="B682" s="226"/>
      <c r="C682" s="226"/>
      <c r="D682" s="226"/>
      <c r="E682" s="226"/>
      <c r="F682" s="226"/>
      <c r="G682" s="226"/>
      <c r="H682" s="226"/>
      <c r="I682" s="226"/>
    </row>
    <row r="683" spans="1:9" ht="20.25">
      <c r="A683" s="226"/>
      <c r="B683" s="226"/>
      <c r="C683" s="226"/>
      <c r="D683" s="226"/>
      <c r="E683" s="226"/>
      <c r="F683" s="226"/>
      <c r="G683" s="226"/>
      <c r="H683" s="226"/>
      <c r="I683" s="226"/>
    </row>
    <row r="684" spans="1:9" ht="20.25">
      <c r="A684" s="226"/>
      <c r="B684" s="226"/>
      <c r="C684" s="226"/>
      <c r="D684" s="226"/>
      <c r="E684" s="226"/>
      <c r="F684" s="226"/>
      <c r="G684" s="226"/>
      <c r="H684" s="226"/>
      <c r="I684" s="226"/>
    </row>
    <row r="685" spans="1:9" ht="20.25">
      <c r="A685" s="226"/>
      <c r="B685" s="226"/>
      <c r="C685" s="226"/>
      <c r="D685" s="226"/>
      <c r="E685" s="226"/>
      <c r="F685" s="226"/>
      <c r="G685" s="226"/>
      <c r="H685" s="226"/>
      <c r="I685" s="226"/>
    </row>
    <row r="686" spans="1:9" ht="20.25">
      <c r="A686" s="226"/>
      <c r="B686" s="226"/>
      <c r="C686" s="226"/>
      <c r="D686" s="226"/>
      <c r="E686" s="226"/>
      <c r="F686" s="226"/>
      <c r="G686" s="226"/>
      <c r="H686" s="226"/>
      <c r="I686" s="226"/>
    </row>
    <row r="687" spans="1:9" ht="20.25">
      <c r="A687" s="226"/>
      <c r="B687" s="226"/>
      <c r="C687" s="226"/>
      <c r="D687" s="226"/>
      <c r="E687" s="226"/>
      <c r="F687" s="226"/>
      <c r="G687" s="226"/>
      <c r="H687" s="226"/>
      <c r="I687" s="226"/>
    </row>
    <row r="688" spans="1:9" ht="20.25">
      <c r="A688" s="226"/>
      <c r="B688" s="226"/>
      <c r="C688" s="226"/>
      <c r="D688" s="226"/>
      <c r="E688" s="226"/>
      <c r="F688" s="226"/>
      <c r="G688" s="226"/>
      <c r="H688" s="226"/>
      <c r="I688" s="226"/>
    </row>
    <row r="689" spans="1:9" ht="20.25">
      <c r="A689" s="226"/>
      <c r="B689" s="226"/>
      <c r="C689" s="226"/>
      <c r="D689" s="226"/>
      <c r="E689" s="226"/>
      <c r="F689" s="226"/>
      <c r="G689" s="226"/>
      <c r="H689" s="226"/>
      <c r="I689" s="226"/>
    </row>
    <row r="690" spans="1:9" ht="20.25">
      <c r="A690" s="226"/>
      <c r="B690" s="226"/>
      <c r="C690" s="226"/>
      <c r="D690" s="226"/>
      <c r="E690" s="226"/>
      <c r="F690" s="226"/>
      <c r="G690" s="226"/>
      <c r="H690" s="226"/>
      <c r="I690" s="226"/>
    </row>
    <row r="691" spans="1:9" ht="20.25">
      <c r="A691" s="226"/>
      <c r="B691" s="226"/>
      <c r="C691" s="226"/>
      <c r="D691" s="226"/>
      <c r="E691" s="226"/>
      <c r="F691" s="226"/>
      <c r="G691" s="226"/>
      <c r="H691" s="226"/>
      <c r="I691" s="226"/>
    </row>
    <row r="692" spans="1:9" ht="20.25">
      <c r="A692" s="226"/>
      <c r="B692" s="226"/>
      <c r="C692" s="226"/>
      <c r="D692" s="226"/>
      <c r="E692" s="226"/>
      <c r="F692" s="226"/>
      <c r="G692" s="226"/>
      <c r="H692" s="226"/>
      <c r="I692" s="226"/>
    </row>
    <row r="693" spans="1:9" ht="20.25">
      <c r="A693" s="226"/>
      <c r="B693" s="226"/>
      <c r="C693" s="226"/>
      <c r="D693" s="226"/>
      <c r="E693" s="226"/>
      <c r="F693" s="226"/>
      <c r="G693" s="226"/>
      <c r="H693" s="226"/>
      <c r="I693" s="226"/>
    </row>
    <row r="694" spans="1:9" ht="20.25">
      <c r="A694" s="226"/>
      <c r="B694" s="226"/>
      <c r="C694" s="226"/>
      <c r="D694" s="226"/>
      <c r="E694" s="226"/>
      <c r="F694" s="226"/>
      <c r="G694" s="226"/>
      <c r="H694" s="226"/>
      <c r="I694" s="226"/>
    </row>
    <row r="695" spans="1:9" ht="20.25">
      <c r="A695" s="226"/>
      <c r="B695" s="226"/>
      <c r="C695" s="226"/>
      <c r="D695" s="226"/>
      <c r="E695" s="226"/>
      <c r="F695" s="226"/>
      <c r="G695" s="226"/>
      <c r="H695" s="226"/>
      <c r="I695" s="226"/>
    </row>
    <row r="696" spans="1:9" ht="20.25">
      <c r="A696" s="226"/>
      <c r="B696" s="226"/>
      <c r="C696" s="226"/>
      <c r="D696" s="226"/>
      <c r="E696" s="226"/>
      <c r="F696" s="226"/>
      <c r="G696" s="226"/>
      <c r="H696" s="226"/>
      <c r="I696" s="226"/>
    </row>
    <row r="697" spans="1:9" ht="20.25">
      <c r="A697" s="226"/>
      <c r="B697" s="226"/>
      <c r="C697" s="226"/>
      <c r="D697" s="226"/>
      <c r="E697" s="226"/>
      <c r="F697" s="226"/>
      <c r="G697" s="226"/>
      <c r="H697" s="226"/>
      <c r="I697" s="226"/>
    </row>
    <row r="698" spans="1:9" ht="20.25">
      <c r="A698" s="226"/>
      <c r="B698" s="226"/>
      <c r="C698" s="226"/>
      <c r="D698" s="226"/>
      <c r="E698" s="226"/>
      <c r="F698" s="226"/>
      <c r="G698" s="226"/>
      <c r="H698" s="226"/>
      <c r="I698" s="226"/>
    </row>
    <row r="699" spans="1:9" ht="20.25">
      <c r="A699" s="226"/>
      <c r="B699" s="226"/>
      <c r="C699" s="226"/>
      <c r="D699" s="226"/>
      <c r="E699" s="226"/>
      <c r="F699" s="226"/>
      <c r="G699" s="226"/>
      <c r="H699" s="226"/>
      <c r="I699" s="226"/>
    </row>
    <row r="700" spans="1:9" ht="20.25">
      <c r="A700" s="226"/>
      <c r="B700" s="226"/>
      <c r="C700" s="226"/>
      <c r="D700" s="226"/>
      <c r="E700" s="226"/>
      <c r="F700" s="226"/>
      <c r="G700" s="226"/>
      <c r="H700" s="226"/>
      <c r="I700" s="226"/>
    </row>
    <row r="701" spans="1:9" ht="20.25">
      <c r="A701" s="226"/>
      <c r="B701" s="226"/>
      <c r="C701" s="226"/>
      <c r="D701" s="226"/>
      <c r="E701" s="226"/>
      <c r="F701" s="226"/>
      <c r="G701" s="226"/>
      <c r="H701" s="226"/>
      <c r="I701" s="226"/>
    </row>
    <row r="702" spans="1:9" ht="20.25">
      <c r="A702" s="226"/>
      <c r="B702" s="226"/>
      <c r="C702" s="226"/>
      <c r="D702" s="226"/>
      <c r="E702" s="226"/>
      <c r="F702" s="226"/>
      <c r="G702" s="226"/>
      <c r="H702" s="226"/>
      <c r="I702" s="226"/>
    </row>
    <row r="703" spans="1:9" ht="20.25">
      <c r="A703" s="226"/>
      <c r="B703" s="226"/>
      <c r="C703" s="226"/>
      <c r="D703" s="226"/>
      <c r="E703" s="226"/>
      <c r="F703" s="226"/>
      <c r="G703" s="226"/>
      <c r="H703" s="226"/>
      <c r="I703" s="226"/>
    </row>
    <row r="704" spans="1:9" ht="20.25">
      <c r="A704" s="226"/>
      <c r="B704" s="226"/>
      <c r="C704" s="226"/>
      <c r="D704" s="226"/>
      <c r="E704" s="226"/>
      <c r="F704" s="226"/>
      <c r="G704" s="226"/>
      <c r="H704" s="226"/>
      <c r="I704" s="226"/>
    </row>
    <row r="705" spans="1:9" ht="20.25">
      <c r="A705" s="226"/>
      <c r="B705" s="226"/>
      <c r="C705" s="226"/>
      <c r="D705" s="226"/>
      <c r="E705" s="226"/>
      <c r="F705" s="226"/>
      <c r="G705" s="226"/>
      <c r="H705" s="226"/>
      <c r="I705" s="226"/>
    </row>
    <row r="706" spans="1:9" ht="20.25">
      <c r="A706" s="226"/>
      <c r="B706" s="226"/>
      <c r="C706" s="226"/>
      <c r="D706" s="226"/>
      <c r="E706" s="226"/>
      <c r="F706" s="226"/>
      <c r="G706" s="226"/>
      <c r="H706" s="226"/>
      <c r="I706" s="226"/>
    </row>
    <row r="707" spans="1:9" ht="20.25">
      <c r="A707" s="226"/>
      <c r="B707" s="226"/>
      <c r="C707" s="226"/>
      <c r="D707" s="226"/>
      <c r="E707" s="226"/>
      <c r="F707" s="226"/>
      <c r="G707" s="226"/>
      <c r="H707" s="226"/>
      <c r="I707" s="226"/>
    </row>
    <row r="708" spans="1:9" ht="20.25">
      <c r="A708" s="226"/>
      <c r="B708" s="226"/>
      <c r="C708" s="226"/>
      <c r="D708" s="226"/>
      <c r="E708" s="226"/>
      <c r="F708" s="226"/>
      <c r="G708" s="226"/>
      <c r="H708" s="226"/>
      <c r="I708" s="226"/>
    </row>
    <row r="709" spans="1:9" ht="20.25">
      <c r="A709" s="226"/>
      <c r="B709" s="226"/>
      <c r="C709" s="226"/>
      <c r="D709" s="226"/>
      <c r="E709" s="226"/>
      <c r="F709" s="226"/>
      <c r="G709" s="226"/>
      <c r="H709" s="226"/>
      <c r="I709" s="226"/>
    </row>
    <row r="710" spans="1:9" ht="20.25">
      <c r="A710" s="226"/>
      <c r="B710" s="226"/>
      <c r="C710" s="226"/>
      <c r="D710" s="226"/>
      <c r="E710" s="226"/>
      <c r="F710" s="226"/>
      <c r="G710" s="226"/>
      <c r="H710" s="226"/>
      <c r="I710" s="226"/>
    </row>
    <row r="711" spans="1:9" ht="20.25">
      <c r="A711" s="226"/>
      <c r="B711" s="226"/>
      <c r="C711" s="226"/>
      <c r="D711" s="226"/>
      <c r="E711" s="226"/>
      <c r="F711" s="226"/>
      <c r="G711" s="226"/>
      <c r="H711" s="226"/>
      <c r="I711" s="226"/>
    </row>
    <row r="712" spans="1:9" ht="20.25">
      <c r="A712" s="226"/>
      <c r="B712" s="226"/>
      <c r="C712" s="226"/>
      <c r="D712" s="226"/>
      <c r="E712" s="226"/>
      <c r="F712" s="226"/>
      <c r="G712" s="226"/>
      <c r="H712" s="226"/>
      <c r="I712" s="226"/>
    </row>
    <row r="713" spans="1:9" ht="20.25">
      <c r="A713" s="226"/>
      <c r="B713" s="226"/>
      <c r="C713" s="226"/>
      <c r="D713" s="226"/>
      <c r="E713" s="226"/>
      <c r="F713" s="226"/>
      <c r="G713" s="226"/>
      <c r="H713" s="226"/>
      <c r="I713" s="226"/>
    </row>
    <row r="714" spans="1:9" ht="20.25">
      <c r="A714" s="226"/>
      <c r="B714" s="226"/>
      <c r="C714" s="226"/>
      <c r="D714" s="226"/>
      <c r="E714" s="226"/>
      <c r="F714" s="226"/>
      <c r="G714" s="226"/>
      <c r="H714" s="226"/>
      <c r="I714" s="226"/>
    </row>
    <row r="715" spans="1:9" ht="20.25">
      <c r="A715" s="226"/>
      <c r="B715" s="226"/>
      <c r="C715" s="226"/>
      <c r="D715" s="226"/>
      <c r="E715" s="226"/>
      <c r="F715" s="226"/>
      <c r="G715" s="226"/>
      <c r="H715" s="226"/>
      <c r="I715" s="226"/>
    </row>
    <row r="716" spans="1:9" ht="20.25">
      <c r="A716" s="226"/>
      <c r="B716" s="226"/>
      <c r="C716" s="226"/>
      <c r="D716" s="226"/>
      <c r="E716" s="226"/>
      <c r="F716" s="226"/>
      <c r="G716" s="226"/>
      <c r="H716" s="226"/>
      <c r="I716" s="226"/>
    </row>
    <row r="717" spans="1:9" ht="20.25">
      <c r="A717" s="226"/>
      <c r="B717" s="226"/>
      <c r="C717" s="226"/>
      <c r="D717" s="226"/>
      <c r="E717" s="226"/>
      <c r="F717" s="226"/>
      <c r="G717" s="226"/>
      <c r="H717" s="226"/>
      <c r="I717" s="226"/>
    </row>
    <row r="718" spans="1:9" ht="20.25">
      <c r="A718" s="226"/>
      <c r="B718" s="226"/>
      <c r="C718" s="226"/>
      <c r="D718" s="226"/>
      <c r="E718" s="226"/>
      <c r="F718" s="226"/>
      <c r="G718" s="226"/>
      <c r="H718" s="226"/>
      <c r="I718" s="226"/>
    </row>
    <row r="719" spans="1:9" ht="20.25">
      <c r="A719" s="226"/>
      <c r="B719" s="226"/>
      <c r="C719" s="226"/>
      <c r="D719" s="226"/>
      <c r="E719" s="226"/>
      <c r="F719" s="226"/>
      <c r="G719" s="226"/>
      <c r="H719" s="226"/>
      <c r="I719" s="226"/>
    </row>
    <row r="720" spans="1:9" ht="20.25">
      <c r="A720" s="226"/>
      <c r="B720" s="226"/>
      <c r="C720" s="226"/>
      <c r="D720" s="226"/>
      <c r="E720" s="226"/>
      <c r="F720" s="226"/>
      <c r="G720" s="226"/>
      <c r="H720" s="226"/>
      <c r="I720" s="226"/>
    </row>
    <row r="721" spans="1:9" ht="20.25">
      <c r="A721" s="226"/>
      <c r="B721" s="226"/>
      <c r="C721" s="226"/>
      <c r="D721" s="226"/>
      <c r="E721" s="226"/>
      <c r="F721" s="226"/>
      <c r="G721" s="226"/>
      <c r="H721" s="226"/>
      <c r="I721" s="226"/>
    </row>
    <row r="722" spans="1:9" ht="20.25">
      <c r="A722" s="226"/>
      <c r="B722" s="226"/>
      <c r="C722" s="226"/>
      <c r="D722" s="226"/>
      <c r="E722" s="226"/>
      <c r="F722" s="226"/>
      <c r="G722" s="226"/>
      <c r="H722" s="226"/>
      <c r="I722" s="226"/>
    </row>
    <row r="723" spans="1:9" ht="20.25">
      <c r="A723" s="226"/>
      <c r="B723" s="226"/>
      <c r="C723" s="226"/>
      <c r="D723" s="226"/>
      <c r="E723" s="226"/>
      <c r="F723" s="226"/>
      <c r="G723" s="226"/>
      <c r="H723" s="226"/>
      <c r="I723" s="226"/>
    </row>
    <row r="724" spans="1:9" ht="20.25">
      <c r="A724" s="226"/>
      <c r="B724" s="226"/>
      <c r="C724" s="226"/>
      <c r="D724" s="226"/>
      <c r="E724" s="226"/>
      <c r="F724" s="226"/>
      <c r="G724" s="226"/>
      <c r="H724" s="226"/>
      <c r="I724" s="226"/>
    </row>
    <row r="725" spans="1:9" ht="20.25">
      <c r="A725" s="226"/>
      <c r="B725" s="226"/>
      <c r="C725" s="226"/>
      <c r="D725" s="226"/>
      <c r="E725" s="226"/>
      <c r="F725" s="226"/>
      <c r="G725" s="226"/>
      <c r="H725" s="226"/>
      <c r="I725" s="226"/>
    </row>
    <row r="726" spans="1:9" ht="20.25">
      <c r="A726" s="226"/>
      <c r="B726" s="226"/>
      <c r="C726" s="226"/>
      <c r="D726" s="226"/>
      <c r="E726" s="226"/>
      <c r="F726" s="226"/>
      <c r="G726" s="226"/>
      <c r="H726" s="226"/>
      <c r="I726" s="226"/>
    </row>
    <row r="727" spans="1:9" ht="20.25">
      <c r="A727" s="226"/>
      <c r="B727" s="226"/>
      <c r="C727" s="226"/>
      <c r="D727" s="226"/>
      <c r="E727" s="226"/>
      <c r="F727" s="226"/>
      <c r="G727" s="226"/>
      <c r="H727" s="226"/>
      <c r="I727" s="226"/>
    </row>
    <row r="728" spans="1:9" ht="20.25">
      <c r="A728" s="226"/>
      <c r="B728" s="226"/>
      <c r="C728" s="226"/>
      <c r="D728" s="226"/>
      <c r="E728" s="226"/>
      <c r="F728" s="226"/>
      <c r="G728" s="226"/>
      <c r="H728" s="226"/>
      <c r="I728" s="226"/>
    </row>
    <row r="729" spans="1:9" ht="20.25">
      <c r="A729" s="226"/>
      <c r="B729" s="226"/>
      <c r="C729" s="226"/>
      <c r="D729" s="226"/>
      <c r="E729" s="226"/>
      <c r="F729" s="226"/>
      <c r="G729" s="226"/>
      <c r="H729" s="226"/>
      <c r="I729" s="226"/>
    </row>
    <row r="730" spans="1:9" ht="20.25">
      <c r="A730" s="226"/>
      <c r="B730" s="226"/>
      <c r="C730" s="226"/>
      <c r="D730" s="226"/>
      <c r="E730" s="226"/>
      <c r="F730" s="226"/>
      <c r="G730" s="226"/>
      <c r="H730" s="226"/>
      <c r="I730" s="226"/>
    </row>
    <row r="731" spans="1:9" ht="20.25">
      <c r="A731" s="226"/>
      <c r="B731" s="226"/>
      <c r="C731" s="226"/>
      <c r="D731" s="226"/>
      <c r="E731" s="226"/>
      <c r="F731" s="226"/>
      <c r="G731" s="226"/>
      <c r="H731" s="226"/>
      <c r="I731" s="226"/>
    </row>
    <row r="732" spans="1:9" ht="20.25">
      <c r="A732" s="226"/>
      <c r="B732" s="226"/>
      <c r="C732" s="226"/>
      <c r="D732" s="226"/>
      <c r="E732" s="226"/>
      <c r="F732" s="226"/>
      <c r="G732" s="226"/>
      <c r="H732" s="226"/>
      <c r="I732" s="226"/>
    </row>
    <row r="733" spans="1:9" ht="20.25">
      <c r="A733" s="226"/>
      <c r="B733" s="226"/>
      <c r="C733" s="226"/>
      <c r="D733" s="226"/>
      <c r="E733" s="226"/>
      <c r="F733" s="226"/>
      <c r="G733" s="226"/>
      <c r="H733" s="226"/>
      <c r="I733" s="226"/>
    </row>
    <row r="734" spans="1:9" ht="20.25">
      <c r="A734" s="226"/>
      <c r="B734" s="226"/>
      <c r="C734" s="226"/>
      <c r="D734" s="226"/>
      <c r="E734" s="226"/>
      <c r="F734" s="226"/>
      <c r="G734" s="226"/>
      <c r="H734" s="226"/>
      <c r="I734" s="226"/>
    </row>
    <row r="735" spans="1:9" ht="20.25">
      <c r="A735" s="226"/>
      <c r="B735" s="226"/>
      <c r="C735" s="226"/>
      <c r="D735" s="226"/>
      <c r="E735" s="226"/>
      <c r="F735" s="226"/>
      <c r="G735" s="226"/>
      <c r="H735" s="226"/>
      <c r="I735" s="226"/>
    </row>
    <row r="736" spans="1:9" ht="20.25">
      <c r="A736" s="226"/>
      <c r="B736" s="226"/>
      <c r="C736" s="226"/>
      <c r="D736" s="226"/>
      <c r="E736" s="226"/>
      <c r="F736" s="226"/>
      <c r="G736" s="226"/>
      <c r="H736" s="226"/>
      <c r="I736" s="226"/>
    </row>
    <row r="737" spans="1:9" ht="20.25">
      <c r="A737" s="226"/>
      <c r="B737" s="226"/>
      <c r="C737" s="226"/>
      <c r="D737" s="226"/>
      <c r="E737" s="226"/>
      <c r="F737" s="226"/>
      <c r="G737" s="226"/>
      <c r="H737" s="226"/>
      <c r="I737" s="226"/>
    </row>
    <row r="738" spans="1:9" ht="20.25">
      <c r="A738" s="226"/>
      <c r="B738" s="226"/>
      <c r="C738" s="226"/>
      <c r="D738" s="226"/>
      <c r="E738" s="226"/>
      <c r="F738" s="226"/>
      <c r="G738" s="226"/>
      <c r="H738" s="226"/>
      <c r="I738" s="226"/>
    </row>
    <row r="739" spans="1:9" ht="20.25">
      <c r="A739" s="226"/>
      <c r="B739" s="226"/>
      <c r="C739" s="226"/>
      <c r="D739" s="226"/>
      <c r="E739" s="226"/>
      <c r="F739" s="226"/>
      <c r="G739" s="226"/>
      <c r="H739" s="226"/>
      <c r="I739" s="226"/>
    </row>
    <row r="740" spans="1:9" ht="20.25">
      <c r="A740" s="226"/>
      <c r="B740" s="226"/>
      <c r="C740" s="226"/>
      <c r="D740" s="226"/>
      <c r="E740" s="226"/>
      <c r="F740" s="226"/>
      <c r="G740" s="226"/>
      <c r="H740" s="226"/>
      <c r="I740" s="226"/>
    </row>
    <row r="741" spans="1:9" ht="20.25">
      <c r="A741" s="226"/>
      <c r="B741" s="226"/>
      <c r="C741" s="226"/>
      <c r="D741" s="226"/>
      <c r="E741" s="226"/>
      <c r="F741" s="226"/>
      <c r="G741" s="226"/>
      <c r="H741" s="226"/>
      <c r="I741" s="226"/>
    </row>
    <row r="742" spans="1:9" ht="20.25">
      <c r="A742" s="226"/>
      <c r="B742" s="226"/>
      <c r="C742" s="226"/>
      <c r="D742" s="226"/>
      <c r="E742" s="226"/>
      <c r="F742" s="226"/>
      <c r="G742" s="226"/>
      <c r="H742" s="226"/>
      <c r="I742" s="226"/>
    </row>
    <row r="743" spans="1:9" ht="20.25">
      <c r="A743" s="226"/>
      <c r="B743" s="226"/>
      <c r="C743" s="226"/>
      <c r="D743" s="226"/>
      <c r="E743" s="226"/>
      <c r="F743" s="226"/>
      <c r="G743" s="226"/>
      <c r="H743" s="226"/>
      <c r="I743" s="226"/>
    </row>
    <row r="744" spans="1:9" ht="20.25">
      <c r="A744" s="226"/>
      <c r="B744" s="226"/>
      <c r="C744" s="226"/>
      <c r="D744" s="226"/>
      <c r="E744" s="226"/>
      <c r="F744" s="226"/>
      <c r="G744" s="226"/>
      <c r="H744" s="226"/>
      <c r="I744" s="226"/>
    </row>
    <row r="745" spans="1:9" ht="20.25">
      <c r="A745" s="226"/>
      <c r="B745" s="226"/>
      <c r="C745" s="226"/>
      <c r="D745" s="226"/>
      <c r="E745" s="226"/>
      <c r="F745" s="226"/>
      <c r="G745" s="226"/>
      <c r="H745" s="226"/>
      <c r="I745" s="226"/>
    </row>
    <row r="746" spans="1:9" ht="20.25">
      <c r="A746" s="226"/>
      <c r="B746" s="226"/>
      <c r="C746" s="226"/>
      <c r="D746" s="226"/>
      <c r="E746" s="226"/>
      <c r="F746" s="226"/>
      <c r="G746" s="226"/>
      <c r="H746" s="226"/>
      <c r="I746" s="226"/>
    </row>
    <row r="747" spans="1:9" ht="20.25">
      <c r="A747" s="226"/>
      <c r="B747" s="226"/>
      <c r="C747" s="226"/>
      <c r="D747" s="226"/>
      <c r="E747" s="226"/>
      <c r="F747" s="226"/>
      <c r="G747" s="226"/>
      <c r="H747" s="226"/>
      <c r="I747" s="226"/>
    </row>
    <row r="748" spans="1:9" ht="20.25">
      <c r="A748" s="226"/>
      <c r="B748" s="226"/>
      <c r="C748" s="226"/>
      <c r="D748" s="226"/>
      <c r="E748" s="226"/>
      <c r="F748" s="226"/>
      <c r="G748" s="226"/>
      <c r="H748" s="226"/>
      <c r="I748" s="226"/>
    </row>
    <row r="749" spans="1:9" ht="20.25">
      <c r="A749" s="226"/>
      <c r="B749" s="226"/>
      <c r="C749" s="226"/>
      <c r="D749" s="226"/>
      <c r="E749" s="226"/>
      <c r="F749" s="226"/>
      <c r="G749" s="226"/>
      <c r="H749" s="226"/>
      <c r="I749" s="226"/>
    </row>
    <row r="750" spans="1:9" ht="20.25">
      <c r="A750" s="226"/>
      <c r="B750" s="226"/>
      <c r="C750" s="226"/>
      <c r="D750" s="226"/>
      <c r="E750" s="226"/>
      <c r="F750" s="226"/>
      <c r="G750" s="226"/>
      <c r="H750" s="226"/>
      <c r="I750" s="226"/>
    </row>
    <row r="751" spans="1:9" ht="20.25">
      <c r="A751" s="226"/>
      <c r="B751" s="226"/>
      <c r="C751" s="226"/>
      <c r="D751" s="226"/>
      <c r="E751" s="226"/>
      <c r="F751" s="226"/>
      <c r="G751" s="226"/>
      <c r="H751" s="226"/>
      <c r="I751" s="226"/>
    </row>
    <row r="752" spans="1:9" ht="20.25">
      <c r="A752" s="226"/>
      <c r="B752" s="226"/>
      <c r="C752" s="226"/>
      <c r="D752" s="226"/>
      <c r="E752" s="226"/>
      <c r="F752" s="226"/>
      <c r="G752" s="226"/>
      <c r="H752" s="226"/>
      <c r="I752" s="226"/>
    </row>
    <row r="753" spans="1:9" ht="20.25">
      <c r="A753" s="226"/>
      <c r="B753" s="226"/>
      <c r="C753" s="226"/>
      <c r="D753" s="226"/>
      <c r="E753" s="226"/>
      <c r="F753" s="226"/>
      <c r="G753" s="226"/>
      <c r="H753" s="226"/>
      <c r="I753" s="226"/>
    </row>
    <row r="754" spans="1:9" ht="20.25">
      <c r="A754" s="226"/>
      <c r="B754" s="226"/>
      <c r="C754" s="226"/>
      <c r="D754" s="226"/>
      <c r="E754" s="226"/>
      <c r="F754" s="226"/>
      <c r="G754" s="226"/>
      <c r="H754" s="226"/>
      <c r="I754" s="226"/>
    </row>
    <row r="755" spans="1:9" ht="20.25">
      <c r="A755" s="226"/>
      <c r="B755" s="226"/>
      <c r="C755" s="226"/>
      <c r="D755" s="226"/>
      <c r="E755" s="226"/>
      <c r="F755" s="226"/>
      <c r="G755" s="226"/>
      <c r="H755" s="226"/>
      <c r="I755" s="226"/>
    </row>
    <row r="756" spans="1:9" ht="20.25">
      <c r="A756" s="226"/>
      <c r="B756" s="226"/>
      <c r="C756" s="226"/>
      <c r="D756" s="226"/>
      <c r="E756" s="226"/>
      <c r="F756" s="226"/>
      <c r="G756" s="226"/>
      <c r="H756" s="226"/>
      <c r="I756" s="226"/>
    </row>
    <row r="757" spans="1:9" ht="20.25">
      <c r="A757" s="226"/>
      <c r="B757" s="226"/>
      <c r="C757" s="226"/>
      <c r="D757" s="226"/>
      <c r="E757" s="226"/>
      <c r="F757" s="226"/>
      <c r="G757" s="226"/>
      <c r="H757" s="226"/>
      <c r="I757" s="226"/>
    </row>
    <row r="758" spans="1:9" ht="20.25">
      <c r="A758" s="226"/>
      <c r="B758" s="226"/>
      <c r="C758" s="226"/>
      <c r="D758" s="226"/>
      <c r="E758" s="226"/>
      <c r="F758" s="226"/>
      <c r="G758" s="226"/>
      <c r="H758" s="226"/>
      <c r="I758" s="226"/>
    </row>
    <row r="759" spans="1:9" ht="20.25">
      <c r="A759" s="226"/>
      <c r="B759" s="226"/>
      <c r="C759" s="226"/>
      <c r="D759" s="226"/>
      <c r="E759" s="226"/>
      <c r="F759" s="226"/>
      <c r="G759" s="226"/>
      <c r="H759" s="226"/>
      <c r="I759" s="226"/>
    </row>
    <row r="760" spans="1:9" ht="20.25">
      <c r="A760" s="226"/>
      <c r="B760" s="226"/>
      <c r="C760" s="226"/>
      <c r="D760" s="226"/>
      <c r="E760" s="226"/>
      <c r="F760" s="226"/>
      <c r="G760" s="226"/>
      <c r="H760" s="226"/>
      <c r="I760" s="226"/>
    </row>
    <row r="761" spans="1:9" ht="20.25">
      <c r="A761" s="226"/>
      <c r="B761" s="226"/>
      <c r="C761" s="226"/>
      <c r="D761" s="226"/>
      <c r="E761" s="226"/>
      <c r="F761" s="226"/>
      <c r="G761" s="226"/>
      <c r="H761" s="226"/>
      <c r="I761" s="226"/>
    </row>
    <row r="762" spans="1:9" ht="20.25">
      <c r="A762" s="226"/>
      <c r="B762" s="226"/>
      <c r="C762" s="226"/>
      <c r="D762" s="226"/>
      <c r="E762" s="226"/>
      <c r="F762" s="226"/>
      <c r="G762" s="226"/>
      <c r="H762" s="226"/>
      <c r="I762" s="226"/>
    </row>
    <row r="763" spans="1:9" ht="20.25">
      <c r="A763" s="226"/>
      <c r="B763" s="226"/>
      <c r="C763" s="226"/>
      <c r="D763" s="226"/>
      <c r="E763" s="226"/>
      <c r="F763" s="226"/>
      <c r="G763" s="226"/>
      <c r="H763" s="226"/>
      <c r="I763" s="226"/>
    </row>
    <row r="764" spans="1:9" ht="20.25">
      <c r="A764" s="226"/>
      <c r="B764" s="226"/>
      <c r="C764" s="226"/>
      <c r="D764" s="226"/>
      <c r="E764" s="226"/>
      <c r="F764" s="226"/>
      <c r="G764" s="226"/>
      <c r="H764" s="226"/>
      <c r="I764" s="226"/>
    </row>
    <row r="765" spans="1:9" ht="20.25">
      <c r="A765" s="226"/>
      <c r="B765" s="226"/>
      <c r="C765" s="226"/>
      <c r="D765" s="226"/>
      <c r="E765" s="226"/>
      <c r="F765" s="226"/>
      <c r="G765" s="226"/>
      <c r="H765" s="226"/>
      <c r="I765" s="226"/>
    </row>
    <row r="766" spans="1:9" ht="20.25">
      <c r="A766" s="226"/>
      <c r="B766" s="226"/>
      <c r="C766" s="226"/>
      <c r="D766" s="226"/>
      <c r="E766" s="226"/>
      <c r="F766" s="226"/>
      <c r="G766" s="226"/>
      <c r="H766" s="226"/>
      <c r="I766" s="226"/>
    </row>
    <row r="767" spans="1:9" ht="20.25">
      <c r="A767" s="226"/>
      <c r="B767" s="226"/>
      <c r="C767" s="226"/>
      <c r="D767" s="226"/>
      <c r="E767" s="226"/>
      <c r="F767" s="226"/>
      <c r="G767" s="226"/>
      <c r="H767" s="226"/>
      <c r="I767" s="226"/>
    </row>
    <row r="768" spans="1:9" ht="20.25">
      <c r="A768" s="226"/>
      <c r="B768" s="226"/>
      <c r="C768" s="226"/>
      <c r="D768" s="226"/>
      <c r="E768" s="226"/>
      <c r="F768" s="226"/>
      <c r="G768" s="226"/>
      <c r="H768" s="226"/>
      <c r="I768" s="226"/>
    </row>
    <row r="769" spans="1:9" ht="20.25">
      <c r="A769" s="226"/>
      <c r="B769" s="226"/>
      <c r="C769" s="226"/>
      <c r="D769" s="226"/>
      <c r="E769" s="226"/>
      <c r="F769" s="226"/>
      <c r="G769" s="226"/>
      <c r="H769" s="226"/>
      <c r="I769" s="226"/>
    </row>
    <row r="770" spans="1:9" ht="20.25">
      <c r="A770" s="226"/>
      <c r="B770" s="226"/>
      <c r="C770" s="226"/>
      <c r="D770" s="226"/>
      <c r="E770" s="226"/>
      <c r="F770" s="226"/>
      <c r="G770" s="226"/>
      <c r="H770" s="226"/>
      <c r="I770" s="226"/>
    </row>
    <row r="771" spans="1:9" ht="20.25">
      <c r="A771" s="226"/>
      <c r="B771" s="226"/>
      <c r="C771" s="226"/>
      <c r="D771" s="226"/>
      <c r="E771" s="226"/>
      <c r="F771" s="226"/>
      <c r="G771" s="226"/>
      <c r="H771" s="226"/>
      <c r="I771" s="226"/>
    </row>
    <row r="772" spans="1:9" ht="20.25">
      <c r="A772" s="226"/>
      <c r="B772" s="226"/>
      <c r="C772" s="226"/>
      <c r="D772" s="226"/>
      <c r="E772" s="226"/>
      <c r="F772" s="226"/>
      <c r="G772" s="226"/>
      <c r="H772" s="226"/>
      <c r="I772" s="226"/>
    </row>
    <row r="773" spans="1:9" ht="20.25">
      <c r="A773" s="226"/>
      <c r="B773" s="226"/>
      <c r="C773" s="226"/>
      <c r="D773" s="226"/>
      <c r="E773" s="226"/>
      <c r="F773" s="226"/>
      <c r="G773" s="226"/>
      <c r="H773" s="226"/>
      <c r="I773" s="226"/>
    </row>
    <row r="774" spans="1:9" ht="20.25">
      <c r="A774" s="226"/>
      <c r="B774" s="226"/>
      <c r="C774" s="226"/>
      <c r="D774" s="226"/>
      <c r="E774" s="226"/>
      <c r="F774" s="226"/>
      <c r="G774" s="226"/>
      <c r="H774" s="226"/>
      <c r="I774" s="226"/>
    </row>
    <row r="775" spans="1:9" ht="20.25">
      <c r="A775" s="226"/>
      <c r="B775" s="226"/>
      <c r="C775" s="226"/>
      <c r="D775" s="226"/>
      <c r="E775" s="226"/>
      <c r="F775" s="226"/>
      <c r="G775" s="226"/>
      <c r="H775" s="226"/>
      <c r="I775" s="226"/>
    </row>
    <row r="776" spans="1:9" ht="20.25">
      <c r="A776" s="226"/>
      <c r="B776" s="226"/>
      <c r="C776" s="226"/>
      <c r="D776" s="226"/>
      <c r="E776" s="226"/>
      <c r="F776" s="226"/>
      <c r="G776" s="226"/>
      <c r="H776" s="226"/>
      <c r="I776" s="226"/>
    </row>
    <row r="777" spans="1:9" ht="20.25">
      <c r="A777" s="226"/>
      <c r="B777" s="226"/>
      <c r="C777" s="226"/>
      <c r="D777" s="226"/>
      <c r="E777" s="226"/>
      <c r="F777" s="226"/>
      <c r="G777" s="226"/>
      <c r="H777" s="226"/>
      <c r="I777" s="226"/>
    </row>
    <row r="778" spans="1:9" ht="20.25">
      <c r="A778" s="226"/>
      <c r="B778" s="226"/>
      <c r="C778" s="226"/>
      <c r="D778" s="226"/>
      <c r="E778" s="226"/>
      <c r="F778" s="226"/>
      <c r="G778" s="226"/>
      <c r="H778" s="226"/>
      <c r="I778" s="226"/>
    </row>
    <row r="779" spans="1:9" ht="20.25">
      <c r="A779" s="226"/>
      <c r="B779" s="226"/>
      <c r="C779" s="226"/>
      <c r="D779" s="226"/>
      <c r="E779" s="226"/>
      <c r="F779" s="226"/>
      <c r="G779" s="226"/>
      <c r="H779" s="226"/>
      <c r="I779" s="226"/>
    </row>
    <row r="780" spans="1:9" ht="20.25">
      <c r="A780" s="226"/>
      <c r="B780" s="226"/>
      <c r="C780" s="226"/>
      <c r="D780" s="226"/>
      <c r="E780" s="226"/>
      <c r="F780" s="226"/>
      <c r="G780" s="226"/>
      <c r="H780" s="226"/>
      <c r="I780" s="226"/>
    </row>
    <row r="781" spans="1:9" ht="20.25">
      <c r="A781" s="226"/>
      <c r="B781" s="226"/>
      <c r="C781" s="226"/>
      <c r="D781" s="226"/>
      <c r="E781" s="226"/>
      <c r="F781" s="226"/>
      <c r="G781" s="226"/>
      <c r="H781" s="226"/>
      <c r="I781" s="226"/>
    </row>
    <row r="782" spans="1:9" ht="20.25">
      <c r="A782" s="226"/>
      <c r="B782" s="226"/>
      <c r="C782" s="226"/>
      <c r="D782" s="226"/>
      <c r="E782" s="226"/>
      <c r="F782" s="226"/>
      <c r="G782" s="226"/>
      <c r="H782" s="226"/>
      <c r="I782" s="226"/>
    </row>
    <row r="783" spans="1:9" ht="20.25">
      <c r="A783" s="226"/>
      <c r="B783" s="226"/>
      <c r="C783" s="226"/>
      <c r="D783" s="226"/>
      <c r="E783" s="226"/>
      <c r="F783" s="226"/>
      <c r="G783" s="226"/>
      <c r="H783" s="226"/>
      <c r="I783" s="226"/>
    </row>
    <row r="784" spans="1:9" ht="20.25">
      <c r="A784" s="226"/>
      <c r="B784" s="226"/>
      <c r="C784" s="226"/>
      <c r="D784" s="226"/>
      <c r="E784" s="226"/>
      <c r="F784" s="226"/>
      <c r="G784" s="226"/>
      <c r="H784" s="226"/>
      <c r="I784" s="226"/>
    </row>
    <row r="785" spans="1:9" ht="20.25">
      <c r="A785" s="226"/>
      <c r="B785" s="226"/>
      <c r="C785" s="226"/>
      <c r="D785" s="226"/>
      <c r="E785" s="226"/>
      <c r="F785" s="226"/>
      <c r="G785" s="226"/>
      <c r="H785" s="226"/>
      <c r="I785" s="226"/>
    </row>
    <row r="786" spans="1:9" ht="20.25">
      <c r="A786" s="226"/>
      <c r="B786" s="226"/>
      <c r="C786" s="226"/>
      <c r="D786" s="226"/>
      <c r="E786" s="226"/>
      <c r="F786" s="226"/>
      <c r="G786" s="226"/>
      <c r="H786" s="226"/>
      <c r="I786" s="226"/>
    </row>
    <row r="787" spans="1:9" ht="20.25">
      <c r="A787" s="226"/>
      <c r="B787" s="226"/>
      <c r="C787" s="226"/>
      <c r="D787" s="226"/>
      <c r="E787" s="226"/>
      <c r="F787" s="226"/>
      <c r="G787" s="226"/>
      <c r="H787" s="226"/>
      <c r="I787" s="226"/>
    </row>
    <row r="788" spans="1:9" ht="20.25">
      <c r="A788" s="226"/>
      <c r="B788" s="226"/>
      <c r="C788" s="226"/>
      <c r="D788" s="226"/>
      <c r="E788" s="226"/>
      <c r="F788" s="226"/>
      <c r="G788" s="226"/>
      <c r="H788" s="226"/>
      <c r="I788" s="226"/>
    </row>
    <row r="789" spans="1:9" ht="20.25">
      <c r="A789" s="226"/>
      <c r="B789" s="226"/>
      <c r="C789" s="226"/>
      <c r="D789" s="226"/>
      <c r="E789" s="226"/>
      <c r="F789" s="226"/>
      <c r="G789" s="226"/>
      <c r="H789" s="226"/>
      <c r="I789" s="226"/>
    </row>
    <row r="790" spans="1:9" ht="20.25">
      <c r="A790" s="226"/>
      <c r="B790" s="226"/>
      <c r="C790" s="226"/>
      <c r="D790" s="226"/>
      <c r="E790" s="226"/>
      <c r="F790" s="226"/>
      <c r="G790" s="226"/>
      <c r="H790" s="226"/>
      <c r="I790" s="226"/>
    </row>
    <row r="791" spans="1:9" ht="20.25">
      <c r="A791" s="226"/>
      <c r="B791" s="226"/>
      <c r="C791" s="226"/>
      <c r="D791" s="226"/>
      <c r="E791" s="226"/>
      <c r="F791" s="226"/>
      <c r="G791" s="226"/>
      <c r="H791" s="226"/>
      <c r="I791" s="226"/>
    </row>
    <row r="792" spans="1:9" ht="20.25">
      <c r="A792" s="226"/>
      <c r="B792" s="226"/>
      <c r="C792" s="226"/>
      <c r="D792" s="226"/>
      <c r="E792" s="226"/>
      <c r="F792" s="226"/>
      <c r="G792" s="226"/>
      <c r="H792" s="226"/>
      <c r="I792" s="226"/>
    </row>
    <row r="793" spans="1:9" ht="20.25">
      <c r="A793" s="226"/>
      <c r="B793" s="226"/>
      <c r="C793" s="226"/>
      <c r="D793" s="226"/>
      <c r="E793" s="226"/>
      <c r="F793" s="226"/>
      <c r="G793" s="226"/>
      <c r="H793" s="226"/>
      <c r="I793" s="226"/>
    </row>
    <row r="794" spans="1:9" ht="20.25">
      <c r="A794" s="226"/>
      <c r="B794" s="226"/>
      <c r="C794" s="226"/>
      <c r="D794" s="226"/>
      <c r="E794" s="226"/>
      <c r="F794" s="226"/>
      <c r="G794" s="226"/>
      <c r="H794" s="226"/>
      <c r="I794" s="226"/>
    </row>
    <row r="795" spans="1:9" ht="20.25">
      <c r="A795" s="226"/>
      <c r="B795" s="226"/>
      <c r="C795" s="226"/>
      <c r="D795" s="226"/>
      <c r="E795" s="226"/>
      <c r="F795" s="226"/>
      <c r="G795" s="226"/>
      <c r="H795" s="226"/>
      <c r="I795" s="226"/>
    </row>
    <row r="796" spans="1:9" ht="20.25">
      <c r="A796" s="226"/>
      <c r="B796" s="226"/>
      <c r="C796" s="226"/>
      <c r="D796" s="226"/>
      <c r="E796" s="226"/>
      <c r="F796" s="226"/>
      <c r="G796" s="226"/>
      <c r="H796" s="226"/>
      <c r="I796" s="226"/>
    </row>
    <row r="797" spans="1:9" ht="20.25">
      <c r="A797" s="226"/>
      <c r="B797" s="226"/>
      <c r="C797" s="226"/>
      <c r="D797" s="226"/>
      <c r="E797" s="226"/>
      <c r="F797" s="226"/>
      <c r="G797" s="226"/>
      <c r="H797" s="226"/>
      <c r="I797" s="226"/>
    </row>
    <row r="798" spans="1:9" ht="20.25">
      <c r="A798" s="226"/>
      <c r="B798" s="226"/>
      <c r="C798" s="226"/>
      <c r="D798" s="226"/>
      <c r="E798" s="226"/>
      <c r="F798" s="226"/>
      <c r="G798" s="226"/>
      <c r="H798" s="226"/>
      <c r="I798" s="226"/>
    </row>
    <row r="799" spans="1:9" ht="20.25">
      <c r="A799" s="226"/>
      <c r="B799" s="226"/>
      <c r="C799" s="226"/>
      <c r="D799" s="226"/>
      <c r="E799" s="226"/>
      <c r="F799" s="226"/>
      <c r="G799" s="226"/>
      <c r="H799" s="226"/>
      <c r="I799" s="226"/>
    </row>
    <row r="800" spans="1:9" ht="20.25">
      <c r="A800" s="226"/>
      <c r="B800" s="226"/>
      <c r="C800" s="226"/>
      <c r="D800" s="226"/>
      <c r="E800" s="226"/>
      <c r="F800" s="226"/>
      <c r="G800" s="226"/>
      <c r="H800" s="226"/>
      <c r="I800" s="226"/>
    </row>
    <row r="801" spans="1:9" ht="20.25">
      <c r="A801" s="226"/>
      <c r="B801" s="226"/>
      <c r="C801" s="226"/>
      <c r="D801" s="226"/>
      <c r="E801" s="226"/>
      <c r="F801" s="226"/>
      <c r="G801" s="226"/>
      <c r="H801" s="226"/>
      <c r="I801" s="226"/>
    </row>
    <row r="802" spans="1:9" ht="20.25">
      <c r="A802" s="226"/>
      <c r="B802" s="226"/>
      <c r="C802" s="226"/>
      <c r="D802" s="226"/>
      <c r="E802" s="226"/>
      <c r="F802" s="226"/>
      <c r="G802" s="226"/>
      <c r="H802" s="226"/>
      <c r="I802" s="226"/>
    </row>
    <row r="803" spans="1:9" ht="20.25">
      <c r="A803" s="226"/>
      <c r="B803" s="226"/>
      <c r="C803" s="226"/>
      <c r="D803" s="226"/>
      <c r="E803" s="226"/>
      <c r="F803" s="226"/>
      <c r="G803" s="226"/>
      <c r="H803" s="226"/>
      <c r="I803" s="226"/>
    </row>
    <row r="804" spans="1:9" ht="20.25">
      <c r="A804" s="226"/>
      <c r="B804" s="226"/>
      <c r="C804" s="226"/>
      <c r="D804" s="226"/>
      <c r="E804" s="226"/>
      <c r="F804" s="226"/>
      <c r="G804" s="226"/>
      <c r="H804" s="226"/>
      <c r="I804" s="226"/>
    </row>
    <row r="805" spans="1:9" ht="20.25">
      <c r="A805" s="226"/>
      <c r="B805" s="226"/>
      <c r="C805" s="226"/>
      <c r="D805" s="226"/>
      <c r="E805" s="226"/>
      <c r="F805" s="226"/>
      <c r="G805" s="226"/>
      <c r="H805" s="226"/>
      <c r="I805" s="226"/>
    </row>
    <row r="806" spans="1:9" ht="20.25">
      <c r="A806" s="226"/>
      <c r="B806" s="226"/>
      <c r="C806" s="226"/>
      <c r="D806" s="226"/>
      <c r="E806" s="226"/>
      <c r="F806" s="226"/>
      <c r="G806" s="226"/>
      <c r="H806" s="226"/>
      <c r="I806" s="226"/>
    </row>
    <row r="807" spans="1:9" ht="20.25">
      <c r="A807" s="226"/>
      <c r="B807" s="226"/>
      <c r="C807" s="226"/>
      <c r="D807" s="226"/>
      <c r="E807" s="226"/>
      <c r="F807" s="226"/>
      <c r="G807" s="226"/>
      <c r="H807" s="226"/>
      <c r="I807" s="226"/>
    </row>
    <row r="808" spans="1:9" ht="20.25">
      <c r="A808" s="226"/>
      <c r="B808" s="226"/>
      <c r="C808" s="226"/>
      <c r="D808" s="226"/>
      <c r="E808" s="226"/>
      <c r="F808" s="226"/>
      <c r="G808" s="226"/>
      <c r="H808" s="226"/>
      <c r="I808" s="226"/>
    </row>
    <row r="809" spans="1:9" ht="20.25">
      <c r="A809" s="226"/>
      <c r="B809" s="226"/>
      <c r="C809" s="226"/>
      <c r="D809" s="226"/>
      <c r="E809" s="226"/>
      <c r="F809" s="226"/>
      <c r="G809" s="226"/>
      <c r="H809" s="226"/>
      <c r="I809" s="226"/>
    </row>
    <row r="810" spans="1:9" ht="20.25">
      <c r="A810" s="226"/>
      <c r="B810" s="226"/>
      <c r="C810" s="226"/>
      <c r="D810" s="226"/>
      <c r="E810" s="226"/>
      <c r="F810" s="226"/>
      <c r="G810" s="226"/>
      <c r="H810" s="226"/>
      <c r="I810" s="226"/>
    </row>
    <row r="811" spans="1:9" ht="20.25">
      <c r="A811" s="226"/>
      <c r="B811" s="226"/>
      <c r="C811" s="226"/>
      <c r="D811" s="226"/>
      <c r="E811" s="226"/>
      <c r="F811" s="226"/>
      <c r="G811" s="226"/>
      <c r="H811" s="226"/>
      <c r="I811" s="226"/>
    </row>
    <row r="812" spans="1:9" ht="20.25">
      <c r="A812" s="226"/>
      <c r="B812" s="226"/>
      <c r="C812" s="226"/>
      <c r="D812" s="226"/>
      <c r="E812" s="226"/>
      <c r="F812" s="226"/>
      <c r="G812" s="226"/>
      <c r="H812" s="226"/>
      <c r="I812" s="226"/>
    </row>
    <row r="813" spans="1:9" ht="20.25">
      <c r="A813" s="226"/>
      <c r="B813" s="226"/>
      <c r="C813" s="226"/>
      <c r="D813" s="226"/>
      <c r="E813" s="226"/>
      <c r="F813" s="226"/>
      <c r="G813" s="226"/>
      <c r="H813" s="226"/>
      <c r="I813" s="226"/>
    </row>
    <row r="814" spans="1:9" ht="20.25">
      <c r="A814" s="226"/>
      <c r="B814" s="226"/>
      <c r="C814" s="226"/>
      <c r="D814" s="226"/>
      <c r="E814" s="226"/>
      <c r="F814" s="226"/>
      <c r="G814" s="226"/>
      <c r="H814" s="226"/>
      <c r="I814" s="226"/>
    </row>
    <row r="815" spans="1:9" ht="20.25">
      <c r="A815" s="226"/>
      <c r="B815" s="226"/>
      <c r="C815" s="226"/>
      <c r="D815" s="226"/>
      <c r="E815" s="226"/>
      <c r="F815" s="226"/>
      <c r="G815" s="226"/>
      <c r="H815" s="226"/>
      <c r="I815" s="226"/>
    </row>
    <row r="816" spans="1:9" ht="20.25">
      <c r="A816" s="226"/>
      <c r="B816" s="226"/>
      <c r="C816" s="226"/>
      <c r="D816" s="226"/>
      <c r="E816" s="226"/>
      <c r="F816" s="226"/>
      <c r="G816" s="226"/>
      <c r="H816" s="226"/>
      <c r="I816" s="226"/>
    </row>
    <row r="817" spans="1:9" ht="20.25">
      <c r="A817" s="226"/>
      <c r="B817" s="226"/>
      <c r="C817" s="226"/>
      <c r="D817" s="226"/>
      <c r="E817" s="226"/>
      <c r="F817" s="226"/>
      <c r="G817" s="226"/>
      <c r="H817" s="226"/>
      <c r="I817" s="226"/>
    </row>
    <row r="818" spans="1:9" ht="20.25">
      <c r="A818" s="226"/>
      <c r="B818" s="226"/>
      <c r="C818" s="226"/>
      <c r="D818" s="226"/>
      <c r="E818" s="226"/>
      <c r="F818" s="226"/>
      <c r="G818" s="226"/>
      <c r="H818" s="226"/>
      <c r="I818" s="226"/>
    </row>
    <row r="819" spans="1:9" ht="20.25">
      <c r="A819" s="226"/>
      <c r="B819" s="226"/>
      <c r="C819" s="226"/>
      <c r="D819" s="226"/>
      <c r="E819" s="226"/>
      <c r="F819" s="226"/>
      <c r="G819" s="226"/>
      <c r="H819" s="226"/>
      <c r="I819" s="226"/>
    </row>
    <row r="820" spans="1:9" ht="20.25">
      <c r="A820" s="226"/>
      <c r="B820" s="226"/>
      <c r="C820" s="226"/>
      <c r="D820" s="226"/>
      <c r="E820" s="226"/>
      <c r="F820" s="226"/>
      <c r="G820" s="226"/>
      <c r="H820" s="226"/>
      <c r="I820" s="226"/>
    </row>
    <row r="821" spans="1:9" ht="20.25">
      <c r="A821" s="226"/>
      <c r="B821" s="226"/>
      <c r="C821" s="226"/>
      <c r="D821" s="226"/>
      <c r="E821" s="226"/>
      <c r="F821" s="226"/>
      <c r="G821" s="226"/>
      <c r="H821" s="226"/>
      <c r="I821" s="226"/>
    </row>
    <row r="822" spans="1:9" ht="20.25">
      <c r="A822" s="226"/>
      <c r="B822" s="226"/>
      <c r="C822" s="226"/>
      <c r="D822" s="226"/>
      <c r="E822" s="226"/>
      <c r="F822" s="226"/>
      <c r="G822" s="226"/>
      <c r="H822" s="226"/>
      <c r="I822" s="226"/>
    </row>
    <row r="823" spans="1:9" ht="20.25">
      <c r="A823" s="226"/>
      <c r="B823" s="226"/>
      <c r="C823" s="226"/>
      <c r="D823" s="226"/>
      <c r="E823" s="226"/>
      <c r="F823" s="226"/>
      <c r="G823" s="226"/>
      <c r="H823" s="226"/>
      <c r="I823" s="226"/>
    </row>
    <row r="824" spans="1:9" ht="20.25">
      <c r="A824" s="226"/>
      <c r="B824" s="226"/>
      <c r="C824" s="226"/>
      <c r="D824" s="226"/>
      <c r="E824" s="226"/>
      <c r="F824" s="226"/>
      <c r="G824" s="226"/>
      <c r="H824" s="226"/>
      <c r="I824" s="226"/>
    </row>
    <row r="825" spans="1:9" ht="20.25">
      <c r="A825" s="226"/>
      <c r="B825" s="226"/>
      <c r="C825" s="226"/>
      <c r="D825" s="226"/>
      <c r="E825" s="226"/>
      <c r="F825" s="226"/>
      <c r="G825" s="226"/>
      <c r="H825" s="226"/>
      <c r="I825" s="226"/>
    </row>
    <row r="826" spans="1:9" ht="20.25">
      <c r="A826" s="226"/>
      <c r="B826" s="226"/>
      <c r="C826" s="226"/>
      <c r="D826" s="226"/>
      <c r="E826" s="226"/>
      <c r="F826" s="226"/>
      <c r="G826" s="226"/>
      <c r="H826" s="226"/>
      <c r="I826" s="226"/>
    </row>
    <row r="827" spans="1:9" ht="20.25">
      <c r="A827" s="226"/>
      <c r="B827" s="226"/>
      <c r="C827" s="226"/>
      <c r="D827" s="226"/>
      <c r="E827" s="226"/>
      <c r="F827" s="226"/>
      <c r="G827" s="226"/>
      <c r="H827" s="226"/>
      <c r="I827" s="226"/>
    </row>
    <row r="828" spans="1:9" ht="20.25">
      <c r="A828" s="226"/>
      <c r="B828" s="226"/>
      <c r="C828" s="226"/>
      <c r="D828" s="226"/>
      <c r="E828" s="226"/>
      <c r="F828" s="226"/>
      <c r="G828" s="226"/>
      <c r="H828" s="226"/>
      <c r="I828" s="226"/>
    </row>
    <row r="829" spans="1:9" ht="20.25">
      <c r="A829" s="226"/>
      <c r="B829" s="226"/>
      <c r="C829" s="226"/>
      <c r="D829" s="226"/>
      <c r="E829" s="226"/>
      <c r="F829" s="226"/>
      <c r="G829" s="226"/>
      <c r="H829" s="226"/>
      <c r="I829" s="226"/>
    </row>
    <row r="830" spans="1:9" ht="20.25">
      <c r="A830" s="226"/>
      <c r="B830" s="226"/>
      <c r="C830" s="226"/>
      <c r="D830" s="226"/>
      <c r="E830" s="226"/>
      <c r="F830" s="226"/>
      <c r="G830" s="226"/>
      <c r="H830" s="226"/>
      <c r="I830" s="226"/>
    </row>
    <row r="831" spans="1:9" ht="20.25">
      <c r="A831" s="226"/>
      <c r="B831" s="226"/>
      <c r="C831" s="226"/>
      <c r="D831" s="226"/>
      <c r="E831" s="226"/>
      <c r="F831" s="226"/>
      <c r="G831" s="226"/>
      <c r="H831" s="226"/>
      <c r="I831" s="226"/>
    </row>
    <row r="832" spans="1:9" ht="20.25">
      <c r="A832" s="226"/>
      <c r="B832" s="226"/>
      <c r="C832" s="226"/>
      <c r="D832" s="226"/>
      <c r="E832" s="226"/>
      <c r="F832" s="226"/>
      <c r="G832" s="226"/>
      <c r="H832" s="226"/>
      <c r="I832" s="226"/>
    </row>
    <row r="833" spans="1:9" ht="20.25">
      <c r="A833" s="226"/>
      <c r="B833" s="226"/>
      <c r="C833" s="226"/>
      <c r="D833" s="226"/>
      <c r="E833" s="226"/>
      <c r="F833" s="226"/>
      <c r="G833" s="226"/>
      <c r="H833" s="226"/>
      <c r="I833" s="226"/>
    </row>
    <row r="834" spans="1:9" ht="20.25">
      <c r="A834" s="226"/>
      <c r="B834" s="226"/>
      <c r="C834" s="226"/>
      <c r="D834" s="226"/>
      <c r="E834" s="226"/>
      <c r="F834" s="226"/>
      <c r="G834" s="226"/>
      <c r="H834" s="226"/>
      <c r="I834" s="226"/>
    </row>
    <row r="835" spans="1:9" ht="20.25">
      <c r="A835" s="226"/>
      <c r="B835" s="226"/>
      <c r="C835" s="226"/>
      <c r="D835" s="226"/>
      <c r="E835" s="226"/>
      <c r="F835" s="226"/>
      <c r="G835" s="226"/>
      <c r="H835" s="226"/>
      <c r="I835" s="226"/>
    </row>
    <row r="836" spans="1:9" ht="20.25">
      <c r="A836" s="226"/>
      <c r="B836" s="226"/>
      <c r="C836" s="226"/>
      <c r="D836" s="226"/>
      <c r="E836" s="226"/>
      <c r="F836" s="226"/>
      <c r="G836" s="226"/>
      <c r="H836" s="226"/>
      <c r="I836" s="226"/>
    </row>
    <row r="837" spans="1:9" ht="20.25">
      <c r="A837" s="226"/>
      <c r="B837" s="226"/>
      <c r="C837" s="226"/>
      <c r="D837" s="226"/>
      <c r="E837" s="226"/>
      <c r="F837" s="226"/>
      <c r="G837" s="226"/>
      <c r="H837" s="226"/>
      <c r="I837" s="226"/>
    </row>
    <row r="838" spans="1:9" ht="20.25">
      <c r="A838" s="226"/>
      <c r="B838" s="226"/>
      <c r="C838" s="226"/>
      <c r="D838" s="226"/>
      <c r="E838" s="226"/>
      <c r="F838" s="226"/>
      <c r="G838" s="226"/>
      <c r="H838" s="226"/>
      <c r="I838" s="226"/>
    </row>
    <row r="839" spans="1:9" ht="20.25">
      <c r="A839" s="226"/>
      <c r="B839" s="226"/>
      <c r="C839" s="226"/>
      <c r="D839" s="226"/>
      <c r="E839" s="226"/>
      <c r="F839" s="226"/>
      <c r="G839" s="226"/>
      <c r="H839" s="226"/>
      <c r="I839" s="226"/>
    </row>
    <row r="840" spans="1:9" ht="20.25">
      <c r="A840" s="226"/>
      <c r="B840" s="226"/>
      <c r="C840" s="226"/>
      <c r="D840" s="226"/>
      <c r="E840" s="226"/>
      <c r="F840" s="226"/>
      <c r="G840" s="226"/>
      <c r="H840" s="226"/>
      <c r="I840" s="226"/>
    </row>
    <row r="841" spans="1:9" ht="20.25">
      <c r="A841" s="226"/>
      <c r="B841" s="226"/>
      <c r="C841" s="226"/>
      <c r="D841" s="226"/>
      <c r="E841" s="226"/>
      <c r="F841" s="226"/>
      <c r="G841" s="226"/>
      <c r="H841" s="226"/>
      <c r="I841" s="226"/>
    </row>
    <row r="842" spans="1:9" ht="20.25">
      <c r="A842" s="226"/>
      <c r="B842" s="226"/>
      <c r="C842" s="226"/>
      <c r="D842" s="226"/>
      <c r="E842" s="226"/>
      <c r="F842" s="226"/>
      <c r="G842" s="226"/>
      <c r="H842" s="226"/>
      <c r="I842" s="226"/>
    </row>
    <row r="843" spans="1:9" ht="20.25">
      <c r="A843" s="226"/>
      <c r="B843" s="226"/>
      <c r="C843" s="226"/>
      <c r="D843" s="226"/>
      <c r="E843" s="226"/>
      <c r="F843" s="226"/>
      <c r="G843" s="226"/>
      <c r="H843" s="226"/>
      <c r="I843" s="226"/>
    </row>
    <row r="844" spans="1:9" ht="20.25">
      <c r="A844" s="226"/>
      <c r="B844" s="226"/>
      <c r="C844" s="226"/>
      <c r="D844" s="226"/>
      <c r="E844" s="226"/>
      <c r="F844" s="226"/>
      <c r="G844" s="226"/>
      <c r="H844" s="226"/>
      <c r="I844" s="226"/>
    </row>
    <row r="845" spans="1:9" ht="20.25">
      <c r="A845" s="226"/>
      <c r="B845" s="226"/>
      <c r="C845" s="226"/>
      <c r="D845" s="226"/>
      <c r="E845" s="226"/>
      <c r="F845" s="226"/>
      <c r="G845" s="226"/>
      <c r="H845" s="226"/>
      <c r="I845" s="226"/>
    </row>
    <row r="846" spans="1:9" ht="20.25">
      <c r="A846" s="226"/>
      <c r="B846" s="226"/>
      <c r="C846" s="226"/>
      <c r="D846" s="226"/>
      <c r="E846" s="226"/>
      <c r="F846" s="226"/>
      <c r="G846" s="226"/>
      <c r="H846" s="226"/>
      <c r="I846" s="226"/>
    </row>
    <row r="847" spans="1:9" ht="20.25">
      <c r="A847" s="226"/>
      <c r="B847" s="226"/>
      <c r="C847" s="226"/>
      <c r="D847" s="226"/>
      <c r="E847" s="226"/>
      <c r="F847" s="226"/>
      <c r="G847" s="226"/>
      <c r="H847" s="226"/>
      <c r="I847" s="226"/>
    </row>
    <row r="848" spans="1:9" ht="20.25">
      <c r="A848" s="226"/>
      <c r="B848" s="226"/>
      <c r="C848" s="226"/>
      <c r="D848" s="226"/>
      <c r="E848" s="226"/>
      <c r="F848" s="226"/>
      <c r="G848" s="226"/>
      <c r="H848" s="226"/>
      <c r="I848" s="226"/>
    </row>
    <row r="849" spans="1:9" ht="20.25">
      <c r="A849" s="226"/>
      <c r="B849" s="226"/>
      <c r="C849" s="226"/>
      <c r="D849" s="226"/>
      <c r="E849" s="226"/>
      <c r="F849" s="226"/>
      <c r="G849" s="226"/>
      <c r="H849" s="226"/>
      <c r="I849" s="226"/>
    </row>
    <row r="850" spans="1:9" ht="20.25">
      <c r="A850" s="226"/>
      <c r="B850" s="226"/>
      <c r="C850" s="226"/>
      <c r="D850" s="226"/>
      <c r="E850" s="226"/>
      <c r="F850" s="226"/>
      <c r="G850" s="226"/>
      <c r="H850" s="226"/>
      <c r="I850" s="226"/>
    </row>
    <row r="851" spans="1:9" ht="20.25">
      <c r="A851" s="226"/>
      <c r="B851" s="226"/>
      <c r="C851" s="226"/>
      <c r="D851" s="226"/>
      <c r="E851" s="226"/>
      <c r="F851" s="226"/>
      <c r="G851" s="226"/>
      <c r="H851" s="226"/>
      <c r="I851" s="226"/>
    </row>
    <row r="852" spans="1:9" ht="20.25">
      <c r="A852" s="226"/>
      <c r="B852" s="226"/>
      <c r="C852" s="226"/>
      <c r="D852" s="226"/>
      <c r="E852" s="226"/>
      <c r="F852" s="226"/>
      <c r="G852" s="226"/>
      <c r="H852" s="226"/>
      <c r="I852" s="226"/>
    </row>
    <row r="853" spans="1:9" ht="20.25">
      <c r="A853" s="226"/>
      <c r="B853" s="226"/>
      <c r="C853" s="226"/>
      <c r="D853" s="226"/>
      <c r="E853" s="226"/>
      <c r="F853" s="226"/>
      <c r="G853" s="226"/>
      <c r="H853" s="226"/>
      <c r="I853" s="226"/>
    </row>
    <row r="854" spans="1:9" ht="20.25">
      <c r="A854" s="226"/>
      <c r="B854" s="226"/>
      <c r="C854" s="226"/>
      <c r="D854" s="226"/>
      <c r="E854" s="226"/>
      <c r="F854" s="226"/>
      <c r="G854" s="226"/>
      <c r="H854" s="226"/>
      <c r="I854" s="226"/>
    </row>
    <row r="855" spans="1:9" ht="20.25">
      <c r="A855" s="226"/>
      <c r="B855" s="226"/>
      <c r="C855" s="226"/>
      <c r="D855" s="226"/>
      <c r="E855" s="226"/>
      <c r="F855" s="226"/>
      <c r="G855" s="226"/>
      <c r="H855" s="226"/>
      <c r="I855" s="226"/>
    </row>
    <row r="856" spans="1:9" ht="20.25">
      <c r="A856" s="226"/>
      <c r="B856" s="226"/>
      <c r="C856" s="226"/>
      <c r="D856" s="226"/>
      <c r="E856" s="226"/>
      <c r="F856" s="226"/>
      <c r="G856" s="226"/>
      <c r="H856" s="226"/>
      <c r="I856" s="226"/>
    </row>
    <row r="857" spans="1:9" ht="20.25">
      <c r="A857" s="226"/>
      <c r="B857" s="226"/>
      <c r="C857" s="226"/>
      <c r="D857" s="226"/>
      <c r="E857" s="226"/>
      <c r="F857" s="226"/>
      <c r="G857" s="226"/>
      <c r="H857" s="226"/>
      <c r="I857" s="226"/>
    </row>
    <row r="858" spans="1:9" ht="20.25">
      <c r="A858" s="226"/>
      <c r="B858" s="226"/>
      <c r="C858" s="226"/>
      <c r="D858" s="226"/>
      <c r="E858" s="226"/>
      <c r="F858" s="226"/>
      <c r="G858" s="226"/>
      <c r="H858" s="226"/>
      <c r="I858" s="226"/>
    </row>
    <row r="859" spans="1:9" ht="20.25">
      <c r="A859" s="226"/>
      <c r="B859" s="226"/>
      <c r="C859" s="226"/>
      <c r="D859" s="226"/>
      <c r="E859" s="226"/>
      <c r="F859" s="226"/>
      <c r="G859" s="226"/>
      <c r="H859" s="226"/>
      <c r="I859" s="226"/>
    </row>
    <row r="860" spans="1:9" ht="20.25">
      <c r="A860" s="226"/>
      <c r="B860" s="226"/>
      <c r="C860" s="226"/>
      <c r="D860" s="226"/>
      <c r="E860" s="226"/>
      <c r="F860" s="226"/>
      <c r="G860" s="226"/>
      <c r="H860" s="226"/>
      <c r="I860" s="226"/>
    </row>
    <row r="861" spans="1:9" ht="20.25">
      <c r="A861" s="226"/>
      <c r="B861" s="226"/>
      <c r="C861" s="226"/>
      <c r="D861" s="226"/>
      <c r="E861" s="226"/>
      <c r="F861" s="226"/>
      <c r="G861" s="226"/>
      <c r="H861" s="226"/>
      <c r="I861" s="226"/>
    </row>
    <row r="862" spans="1:9" ht="20.25">
      <c r="A862" s="226"/>
      <c r="B862" s="226"/>
      <c r="C862" s="226"/>
      <c r="D862" s="226"/>
      <c r="E862" s="226"/>
      <c r="F862" s="226"/>
      <c r="G862" s="226"/>
      <c r="H862" s="226"/>
      <c r="I862" s="226"/>
    </row>
    <row r="863" spans="1:9" ht="20.25">
      <c r="A863" s="226"/>
      <c r="B863" s="226"/>
      <c r="C863" s="226"/>
      <c r="D863" s="226"/>
      <c r="E863" s="226"/>
      <c r="F863" s="226"/>
      <c r="G863" s="226"/>
      <c r="H863" s="226"/>
      <c r="I863" s="226"/>
    </row>
    <row r="864" spans="1:9" ht="20.25">
      <c r="A864" s="226"/>
      <c r="B864" s="226"/>
      <c r="C864" s="226"/>
      <c r="D864" s="226"/>
      <c r="E864" s="226"/>
      <c r="F864" s="226"/>
      <c r="G864" s="226"/>
      <c r="H864" s="226"/>
      <c r="I864" s="226"/>
    </row>
    <row r="865" spans="1:9" ht="20.25">
      <c r="A865" s="226"/>
      <c r="B865" s="226"/>
      <c r="C865" s="226"/>
      <c r="D865" s="226"/>
      <c r="E865" s="226"/>
      <c r="F865" s="226"/>
      <c r="G865" s="226"/>
      <c r="H865" s="226"/>
      <c r="I865" s="226"/>
    </row>
    <row r="866" spans="1:9" ht="20.25">
      <c r="A866" s="226"/>
      <c r="B866" s="226"/>
      <c r="C866" s="226"/>
      <c r="D866" s="226"/>
      <c r="E866" s="226"/>
      <c r="F866" s="226"/>
      <c r="G866" s="226"/>
      <c r="H866" s="226"/>
      <c r="I866" s="226"/>
    </row>
    <row r="867" spans="1:9" ht="20.25">
      <c r="A867" s="226"/>
      <c r="B867" s="226"/>
      <c r="C867" s="226"/>
      <c r="D867" s="226"/>
      <c r="E867" s="226"/>
      <c r="F867" s="226"/>
      <c r="G867" s="226"/>
      <c r="H867" s="226"/>
      <c r="I867" s="226"/>
    </row>
    <row r="868" spans="1:9" ht="20.25">
      <c r="A868" s="226"/>
      <c r="B868" s="226"/>
      <c r="C868" s="226"/>
      <c r="D868" s="226"/>
      <c r="E868" s="226"/>
      <c r="F868" s="226"/>
      <c r="G868" s="226"/>
      <c r="H868" s="226"/>
      <c r="I868" s="226"/>
    </row>
    <row r="869" spans="1:9" ht="20.25">
      <c r="A869" s="226"/>
      <c r="B869" s="226"/>
      <c r="C869" s="226"/>
      <c r="D869" s="226"/>
      <c r="E869" s="226"/>
      <c r="F869" s="226"/>
      <c r="G869" s="226"/>
      <c r="H869" s="226"/>
      <c r="I869" s="226"/>
    </row>
    <row r="870" spans="1:9" ht="20.25">
      <c r="A870" s="226"/>
      <c r="B870" s="226"/>
      <c r="C870" s="226"/>
      <c r="D870" s="226"/>
      <c r="E870" s="226"/>
      <c r="F870" s="226"/>
      <c r="G870" s="226"/>
      <c r="H870" s="226"/>
      <c r="I870" s="226"/>
    </row>
    <row r="871" spans="1:9" ht="20.25">
      <c r="A871" s="226"/>
      <c r="B871" s="226"/>
      <c r="C871" s="226"/>
      <c r="D871" s="226"/>
      <c r="E871" s="226"/>
      <c r="F871" s="226"/>
      <c r="G871" s="226"/>
      <c r="H871" s="226"/>
      <c r="I871" s="226"/>
    </row>
    <row r="872" spans="1:9" ht="20.25">
      <c r="A872" s="226"/>
      <c r="B872" s="226"/>
      <c r="C872" s="226"/>
      <c r="D872" s="226"/>
      <c r="E872" s="226"/>
      <c r="F872" s="226"/>
      <c r="G872" s="226"/>
      <c r="H872" s="226"/>
      <c r="I872" s="226"/>
    </row>
    <row r="873" spans="1:9" ht="20.25">
      <c r="A873" s="226"/>
      <c r="B873" s="226"/>
      <c r="C873" s="226"/>
      <c r="D873" s="226"/>
      <c r="E873" s="226"/>
      <c r="F873" s="226"/>
      <c r="G873" s="226"/>
      <c r="H873" s="226"/>
      <c r="I873" s="226"/>
    </row>
    <row r="874" spans="1:9" ht="20.25">
      <c r="A874" s="226"/>
      <c r="B874" s="226"/>
      <c r="C874" s="226"/>
      <c r="D874" s="226"/>
      <c r="E874" s="226"/>
      <c r="F874" s="226"/>
      <c r="G874" s="226"/>
      <c r="H874" s="226"/>
      <c r="I874" s="226"/>
    </row>
    <row r="875" spans="1:9" ht="20.25">
      <c r="A875" s="226"/>
      <c r="B875" s="226"/>
      <c r="C875" s="226"/>
      <c r="D875" s="226"/>
      <c r="E875" s="226"/>
      <c r="F875" s="226"/>
      <c r="G875" s="226"/>
      <c r="H875" s="226"/>
      <c r="I875" s="226"/>
    </row>
    <row r="876" spans="1:9" ht="20.25">
      <c r="A876" s="226"/>
      <c r="B876" s="226"/>
      <c r="C876" s="226"/>
      <c r="D876" s="226"/>
      <c r="E876" s="226"/>
      <c r="F876" s="226"/>
      <c r="G876" s="226"/>
      <c r="H876" s="226"/>
      <c r="I876" s="226"/>
    </row>
    <row r="877" spans="1:9" ht="20.25">
      <c r="A877" s="226"/>
      <c r="B877" s="226"/>
      <c r="C877" s="226"/>
      <c r="D877" s="226"/>
      <c r="E877" s="226"/>
      <c r="F877" s="226"/>
      <c r="G877" s="226"/>
      <c r="H877" s="226"/>
      <c r="I877" s="226"/>
    </row>
    <row r="878" spans="1:9" ht="20.25">
      <c r="A878" s="226"/>
      <c r="B878" s="226"/>
      <c r="C878" s="226"/>
      <c r="D878" s="226"/>
      <c r="E878" s="226"/>
      <c r="F878" s="226"/>
      <c r="G878" s="226"/>
      <c r="H878" s="226"/>
      <c r="I878" s="226"/>
    </row>
    <row r="879" spans="1:9" ht="20.25">
      <c r="A879" s="226"/>
      <c r="B879" s="226"/>
      <c r="C879" s="226"/>
      <c r="D879" s="226"/>
      <c r="E879" s="226"/>
      <c r="F879" s="226"/>
      <c r="G879" s="226"/>
      <c r="H879" s="226"/>
      <c r="I879" s="226"/>
    </row>
    <row r="880" spans="1:9" ht="20.25">
      <c r="A880" s="226"/>
      <c r="B880" s="226"/>
      <c r="C880" s="226"/>
      <c r="D880" s="226"/>
      <c r="E880" s="226"/>
      <c r="F880" s="226"/>
      <c r="G880" s="226"/>
      <c r="H880" s="226"/>
      <c r="I880" s="226"/>
    </row>
    <row r="881" spans="1:9" ht="20.25">
      <c r="A881" s="226"/>
      <c r="B881" s="226"/>
      <c r="C881" s="226"/>
      <c r="D881" s="226"/>
      <c r="E881" s="226"/>
      <c r="F881" s="226"/>
      <c r="G881" s="226"/>
      <c r="H881" s="226"/>
      <c r="I881" s="226"/>
    </row>
    <row r="882" spans="1:9" ht="20.25">
      <c r="A882" s="226"/>
      <c r="B882" s="226"/>
      <c r="C882" s="226"/>
      <c r="D882" s="226"/>
      <c r="E882" s="226"/>
      <c r="F882" s="226"/>
      <c r="G882" s="226"/>
      <c r="H882" s="226"/>
      <c r="I882" s="226"/>
    </row>
    <row r="883" spans="1:9" ht="20.25">
      <c r="A883" s="226"/>
      <c r="B883" s="226"/>
      <c r="C883" s="226"/>
      <c r="D883" s="226"/>
      <c r="E883" s="226"/>
      <c r="F883" s="226"/>
      <c r="G883" s="226"/>
      <c r="H883" s="226"/>
      <c r="I883" s="226"/>
    </row>
    <row r="884" spans="1:9" ht="20.25">
      <c r="A884" s="226"/>
      <c r="B884" s="226"/>
      <c r="C884" s="226"/>
      <c r="D884" s="226"/>
      <c r="E884" s="226"/>
      <c r="F884" s="226"/>
      <c r="G884" s="226"/>
      <c r="H884" s="226"/>
      <c r="I884" s="226"/>
    </row>
    <row r="885" spans="1:9" ht="20.25">
      <c r="A885" s="226"/>
      <c r="B885" s="226"/>
      <c r="C885" s="226"/>
      <c r="D885" s="226"/>
      <c r="E885" s="226"/>
      <c r="F885" s="226"/>
      <c r="G885" s="226"/>
      <c r="H885" s="226"/>
      <c r="I885" s="226"/>
    </row>
    <row r="886" spans="1:9" ht="20.25">
      <c r="A886" s="226"/>
      <c r="B886" s="226"/>
      <c r="C886" s="226"/>
      <c r="D886" s="226"/>
      <c r="E886" s="226"/>
      <c r="F886" s="226"/>
      <c r="G886" s="226"/>
      <c r="H886" s="226"/>
      <c r="I886" s="226"/>
    </row>
    <row r="887" spans="1:9" ht="20.25">
      <c r="A887" s="226"/>
      <c r="B887" s="226"/>
      <c r="C887" s="226"/>
      <c r="D887" s="226"/>
      <c r="E887" s="226"/>
      <c r="F887" s="226"/>
      <c r="G887" s="226"/>
      <c r="H887" s="226"/>
      <c r="I887" s="226"/>
    </row>
    <row r="888" spans="1:9" ht="20.25">
      <c r="A888" s="226"/>
      <c r="B888" s="226"/>
      <c r="C888" s="226"/>
      <c r="D888" s="226"/>
      <c r="E888" s="226"/>
      <c r="F888" s="226"/>
      <c r="G888" s="226"/>
      <c r="H888" s="226"/>
      <c r="I888" s="226"/>
    </row>
    <row r="889" spans="1:9" ht="20.25">
      <c r="A889" s="226"/>
      <c r="B889" s="226"/>
      <c r="C889" s="226"/>
      <c r="D889" s="226"/>
      <c r="E889" s="226"/>
      <c r="F889" s="226"/>
      <c r="G889" s="226"/>
      <c r="H889" s="226"/>
      <c r="I889" s="226"/>
    </row>
    <row r="890" spans="1:9" ht="20.25">
      <c r="A890" s="226"/>
      <c r="B890" s="226"/>
      <c r="C890" s="226"/>
      <c r="D890" s="226"/>
      <c r="E890" s="226"/>
      <c r="F890" s="226"/>
      <c r="G890" s="226"/>
      <c r="H890" s="226"/>
      <c r="I890" s="226"/>
    </row>
    <row r="891" spans="1:9" ht="20.25">
      <c r="A891" s="226"/>
      <c r="B891" s="226"/>
      <c r="C891" s="226"/>
      <c r="D891" s="226"/>
      <c r="E891" s="226"/>
      <c r="F891" s="226"/>
      <c r="G891" s="226"/>
      <c r="H891" s="226"/>
      <c r="I891" s="226"/>
    </row>
    <row r="892" spans="1:9" ht="20.25">
      <c r="A892" s="226"/>
      <c r="B892" s="226"/>
      <c r="C892" s="226"/>
      <c r="D892" s="226"/>
      <c r="E892" s="226"/>
      <c r="F892" s="226"/>
      <c r="G892" s="226"/>
      <c r="H892" s="226"/>
      <c r="I892" s="226"/>
    </row>
    <row r="893" spans="1:9" ht="20.25">
      <c r="A893" s="226"/>
      <c r="B893" s="226"/>
      <c r="C893" s="226"/>
      <c r="D893" s="226"/>
      <c r="E893" s="226"/>
      <c r="F893" s="226"/>
      <c r="G893" s="226"/>
      <c r="H893" s="226"/>
      <c r="I893" s="226"/>
    </row>
    <row r="894" spans="1:9" ht="20.25">
      <c r="A894" s="226"/>
      <c r="B894" s="226"/>
      <c r="C894" s="226"/>
      <c r="D894" s="226"/>
      <c r="E894" s="226"/>
      <c r="F894" s="226"/>
      <c r="G894" s="226"/>
      <c r="H894" s="226"/>
      <c r="I894" s="226"/>
    </row>
    <row r="895" spans="1:9" ht="20.25">
      <c r="A895" s="226"/>
      <c r="B895" s="226"/>
      <c r="C895" s="226"/>
      <c r="D895" s="226"/>
      <c r="E895" s="226"/>
      <c r="F895" s="226"/>
      <c r="G895" s="226"/>
      <c r="H895" s="226"/>
      <c r="I895" s="226"/>
    </row>
    <row r="896" spans="1:9" ht="20.25">
      <c r="A896" s="226"/>
      <c r="B896" s="226"/>
      <c r="C896" s="226"/>
      <c r="D896" s="226"/>
      <c r="E896" s="226"/>
      <c r="F896" s="226"/>
      <c r="G896" s="226"/>
      <c r="H896" s="226"/>
      <c r="I896" s="226"/>
    </row>
    <row r="897" spans="1:9" ht="20.25">
      <c r="A897" s="226"/>
      <c r="B897" s="226"/>
      <c r="C897" s="226"/>
      <c r="D897" s="226"/>
      <c r="E897" s="226"/>
      <c r="F897" s="226"/>
      <c r="G897" s="226"/>
      <c r="H897" s="226"/>
      <c r="I897" s="226"/>
    </row>
    <row r="898" spans="1:9" ht="20.25">
      <c r="A898" s="226"/>
      <c r="B898" s="226"/>
      <c r="C898" s="226"/>
      <c r="D898" s="226"/>
      <c r="E898" s="226"/>
      <c r="F898" s="226"/>
      <c r="G898" s="226"/>
      <c r="H898" s="226"/>
      <c r="I898" s="226"/>
    </row>
    <row r="899" spans="1:9" ht="20.25">
      <c r="A899" s="226"/>
      <c r="B899" s="226"/>
      <c r="C899" s="226"/>
      <c r="D899" s="226"/>
      <c r="E899" s="226"/>
      <c r="F899" s="226"/>
      <c r="G899" s="226"/>
      <c r="H899" s="226"/>
      <c r="I899" s="226"/>
    </row>
    <row r="900" spans="1:9" ht="20.25">
      <c r="A900" s="226"/>
      <c r="B900" s="226"/>
      <c r="C900" s="226"/>
      <c r="D900" s="226"/>
      <c r="E900" s="226"/>
      <c r="F900" s="226"/>
      <c r="G900" s="226"/>
      <c r="H900" s="226"/>
      <c r="I900" s="226"/>
    </row>
    <row r="901" spans="1:9" ht="20.25">
      <c r="A901" s="226"/>
      <c r="B901" s="226"/>
      <c r="C901" s="226"/>
      <c r="D901" s="226"/>
      <c r="E901" s="226"/>
      <c r="F901" s="226"/>
      <c r="G901" s="226"/>
      <c r="H901" s="226"/>
      <c r="I901" s="226"/>
    </row>
    <row r="902" spans="1:9" ht="20.25">
      <c r="A902" s="226"/>
      <c r="B902" s="226"/>
      <c r="C902" s="226"/>
      <c r="D902" s="226"/>
      <c r="E902" s="226"/>
      <c r="F902" s="226"/>
      <c r="G902" s="226"/>
      <c r="H902" s="226"/>
      <c r="I902" s="226"/>
    </row>
    <row r="903" spans="1:9" ht="20.25">
      <c r="A903" s="226"/>
      <c r="B903" s="226"/>
      <c r="C903" s="226"/>
      <c r="D903" s="226"/>
      <c r="E903" s="226"/>
      <c r="F903" s="226"/>
      <c r="G903" s="226"/>
      <c r="H903" s="226"/>
      <c r="I903" s="226"/>
    </row>
    <row r="904" spans="1:9" ht="20.25">
      <c r="A904" s="226"/>
      <c r="B904" s="226"/>
      <c r="C904" s="226"/>
      <c r="D904" s="226"/>
      <c r="E904" s="226"/>
      <c r="F904" s="226"/>
      <c r="G904" s="226"/>
      <c r="H904" s="226"/>
      <c r="I904" s="226"/>
    </row>
    <row r="905" spans="1:9" ht="20.25">
      <c r="A905" s="226"/>
      <c r="B905" s="226"/>
      <c r="C905" s="226"/>
      <c r="D905" s="226"/>
      <c r="E905" s="226"/>
      <c r="F905" s="226"/>
      <c r="G905" s="226"/>
      <c r="H905" s="226"/>
      <c r="I905" s="226"/>
    </row>
    <row r="906" spans="1:9" ht="20.25">
      <c r="A906" s="226"/>
      <c r="B906" s="226"/>
      <c r="C906" s="226"/>
      <c r="D906" s="226"/>
      <c r="E906" s="226"/>
      <c r="F906" s="226"/>
      <c r="G906" s="226"/>
      <c r="H906" s="226"/>
      <c r="I906" s="226"/>
    </row>
    <row r="907" spans="1:9" ht="20.25">
      <c r="A907" s="226"/>
      <c r="B907" s="226"/>
      <c r="C907" s="226"/>
      <c r="D907" s="226"/>
      <c r="E907" s="226"/>
      <c r="F907" s="226"/>
      <c r="G907" s="226"/>
      <c r="H907" s="226"/>
      <c r="I907" s="226"/>
    </row>
    <row r="908" spans="1:9" ht="20.25">
      <c r="A908" s="226"/>
      <c r="B908" s="226"/>
      <c r="C908" s="226"/>
      <c r="D908" s="226"/>
      <c r="E908" s="226"/>
      <c r="F908" s="226"/>
      <c r="G908" s="226"/>
      <c r="H908" s="226"/>
      <c r="I908" s="226"/>
    </row>
    <row r="909" spans="1:9" ht="20.25">
      <c r="A909" s="226"/>
      <c r="B909" s="226"/>
      <c r="C909" s="226"/>
      <c r="D909" s="226"/>
      <c r="E909" s="226"/>
      <c r="F909" s="226"/>
      <c r="G909" s="226"/>
      <c r="H909" s="226"/>
      <c r="I909" s="226"/>
    </row>
    <row r="910" spans="1:9" ht="20.25">
      <c r="A910" s="226"/>
      <c r="B910" s="226"/>
      <c r="C910" s="226"/>
      <c r="D910" s="226"/>
      <c r="E910" s="226"/>
      <c r="F910" s="226"/>
      <c r="G910" s="226"/>
      <c r="H910" s="226"/>
      <c r="I910" s="226"/>
    </row>
    <row r="911" spans="1:9" ht="20.25">
      <c r="A911" s="226"/>
      <c r="B911" s="226"/>
      <c r="C911" s="226"/>
      <c r="D911" s="226"/>
      <c r="E911" s="226"/>
      <c r="F911" s="226"/>
      <c r="G911" s="226"/>
      <c r="H911" s="226"/>
      <c r="I911" s="226"/>
    </row>
    <row r="912" spans="1:9" ht="20.25">
      <c r="A912" s="226"/>
      <c r="B912" s="226"/>
      <c r="C912" s="226"/>
      <c r="D912" s="226"/>
      <c r="E912" s="226"/>
      <c r="F912" s="226"/>
      <c r="G912" s="226"/>
      <c r="H912" s="226"/>
      <c r="I912" s="226"/>
    </row>
    <row r="913" spans="1:9" ht="20.25">
      <c r="A913" s="226"/>
      <c r="B913" s="226"/>
      <c r="C913" s="226"/>
      <c r="D913" s="226"/>
      <c r="E913" s="226"/>
      <c r="F913" s="226"/>
      <c r="G913" s="226"/>
      <c r="H913" s="226"/>
      <c r="I913" s="226"/>
    </row>
    <row r="914" spans="1:9" ht="20.25">
      <c r="A914" s="226"/>
      <c r="B914" s="226"/>
      <c r="C914" s="226"/>
      <c r="D914" s="226"/>
      <c r="E914" s="226"/>
      <c r="F914" s="226"/>
      <c r="G914" s="226"/>
      <c r="H914" s="226"/>
      <c r="I914" s="226"/>
    </row>
    <row r="915" spans="1:9" ht="20.25">
      <c r="A915" s="226"/>
      <c r="B915" s="226"/>
      <c r="C915" s="226"/>
      <c r="D915" s="226"/>
      <c r="E915" s="226"/>
      <c r="F915" s="226"/>
      <c r="G915" s="226"/>
      <c r="H915" s="226"/>
      <c r="I915" s="226"/>
    </row>
    <row r="916" spans="1:9" ht="20.25">
      <c r="A916" s="226"/>
      <c r="B916" s="226"/>
      <c r="C916" s="226"/>
      <c r="D916" s="226"/>
      <c r="E916" s="226"/>
      <c r="F916" s="226"/>
      <c r="G916" s="226"/>
      <c r="H916" s="226"/>
      <c r="I916" s="226"/>
    </row>
    <row r="917" spans="1:9" ht="20.25">
      <c r="A917" s="226"/>
      <c r="B917" s="226"/>
      <c r="C917" s="226"/>
      <c r="D917" s="226"/>
      <c r="E917" s="226"/>
      <c r="F917" s="226"/>
      <c r="G917" s="226"/>
      <c r="H917" s="226"/>
      <c r="I917" s="226"/>
    </row>
    <row r="918" spans="1:9" ht="20.25">
      <c r="A918" s="226"/>
      <c r="B918" s="226"/>
      <c r="C918" s="226"/>
      <c r="D918" s="226"/>
      <c r="E918" s="226"/>
      <c r="F918" s="226"/>
      <c r="G918" s="226"/>
      <c r="H918" s="226"/>
      <c r="I918" s="226"/>
    </row>
    <row r="919" spans="1:9" ht="20.25">
      <c r="A919" s="226"/>
      <c r="B919" s="226"/>
      <c r="C919" s="226"/>
      <c r="D919" s="226"/>
      <c r="E919" s="226"/>
      <c r="F919" s="226"/>
      <c r="G919" s="226"/>
      <c r="H919" s="226"/>
      <c r="I919" s="226"/>
    </row>
    <row r="920" spans="1:9" ht="20.25">
      <c r="A920" s="226"/>
      <c r="B920" s="226"/>
      <c r="C920" s="226"/>
      <c r="D920" s="226"/>
      <c r="E920" s="226"/>
      <c r="F920" s="226"/>
      <c r="G920" s="226"/>
      <c r="H920" s="226"/>
      <c r="I920" s="226"/>
    </row>
    <row r="921" spans="1:9" ht="20.25">
      <c r="A921" s="226"/>
      <c r="B921" s="226"/>
      <c r="C921" s="226"/>
      <c r="D921" s="226"/>
      <c r="E921" s="226"/>
      <c r="F921" s="226"/>
      <c r="G921" s="226"/>
      <c r="H921" s="226"/>
      <c r="I921" s="226"/>
    </row>
    <row r="922" spans="1:9" ht="20.25">
      <c r="A922" s="226"/>
      <c r="B922" s="226"/>
      <c r="C922" s="226"/>
      <c r="D922" s="226"/>
      <c r="E922" s="226"/>
      <c r="F922" s="226"/>
      <c r="G922" s="226"/>
      <c r="H922" s="226"/>
      <c r="I922" s="226"/>
    </row>
    <row r="923" spans="1:9" ht="20.25">
      <c r="A923" s="226"/>
      <c r="B923" s="226"/>
      <c r="C923" s="226"/>
      <c r="D923" s="226"/>
      <c r="E923" s="226"/>
      <c r="F923" s="226"/>
      <c r="G923" s="226"/>
      <c r="H923" s="226"/>
      <c r="I923" s="226"/>
    </row>
    <row r="924" spans="1:9" ht="20.25">
      <c r="A924" s="226"/>
      <c r="B924" s="226"/>
      <c r="C924" s="226"/>
      <c r="D924" s="226"/>
      <c r="E924" s="226"/>
      <c r="F924" s="226"/>
      <c r="G924" s="226"/>
      <c r="H924" s="226"/>
      <c r="I924" s="226"/>
    </row>
    <row r="925" spans="1:9" ht="20.25">
      <c r="A925" s="226"/>
      <c r="B925" s="226"/>
      <c r="C925" s="226"/>
      <c r="D925" s="226"/>
      <c r="E925" s="226"/>
      <c r="F925" s="226"/>
      <c r="G925" s="226"/>
      <c r="H925" s="226"/>
      <c r="I925" s="226"/>
    </row>
    <row r="926" spans="1:9" ht="20.25">
      <c r="A926" s="226"/>
      <c r="B926" s="226"/>
      <c r="C926" s="226"/>
      <c r="D926" s="226"/>
      <c r="E926" s="226"/>
      <c r="F926" s="226"/>
      <c r="G926" s="226"/>
      <c r="H926" s="226"/>
      <c r="I926" s="226"/>
    </row>
    <row r="927" spans="1:9" ht="20.25">
      <c r="A927" s="226"/>
      <c r="B927" s="226"/>
      <c r="C927" s="226"/>
      <c r="D927" s="226"/>
      <c r="E927" s="226"/>
      <c r="F927" s="226"/>
      <c r="G927" s="226"/>
      <c r="H927" s="226"/>
      <c r="I927" s="226"/>
    </row>
    <row r="928" spans="1:9" ht="20.25">
      <c r="A928" s="226"/>
      <c r="B928" s="226"/>
      <c r="C928" s="226"/>
      <c r="D928" s="226"/>
      <c r="E928" s="226"/>
      <c r="F928" s="226"/>
      <c r="G928" s="226"/>
      <c r="H928" s="226"/>
      <c r="I928" s="226"/>
    </row>
    <row r="929" spans="1:9" ht="20.25">
      <c r="A929" s="226"/>
      <c r="B929" s="226"/>
      <c r="C929" s="226"/>
      <c r="D929" s="226"/>
      <c r="E929" s="226"/>
      <c r="F929" s="226"/>
      <c r="G929" s="226"/>
      <c r="H929" s="226"/>
      <c r="I929" s="226"/>
    </row>
    <row r="930" spans="1:9" ht="20.25">
      <c r="A930" s="226"/>
      <c r="B930" s="226"/>
      <c r="C930" s="226"/>
      <c r="D930" s="226"/>
      <c r="E930" s="226"/>
      <c r="F930" s="226"/>
      <c r="G930" s="226"/>
      <c r="H930" s="226"/>
      <c r="I930" s="226"/>
    </row>
    <row r="931" spans="1:9" ht="20.25">
      <c r="A931" s="226"/>
      <c r="B931" s="226"/>
      <c r="C931" s="226"/>
      <c r="D931" s="226"/>
      <c r="E931" s="226"/>
      <c r="F931" s="226"/>
      <c r="G931" s="226"/>
      <c r="H931" s="226"/>
      <c r="I931" s="226"/>
    </row>
    <row r="932" spans="1:9" ht="20.25">
      <c r="A932" s="226"/>
      <c r="B932" s="226"/>
      <c r="C932" s="226"/>
      <c r="D932" s="226"/>
      <c r="E932" s="226"/>
      <c r="F932" s="226"/>
      <c r="G932" s="226"/>
      <c r="H932" s="226"/>
      <c r="I932" s="226"/>
    </row>
    <row r="933" spans="1:9" ht="20.25">
      <c r="A933" s="226"/>
      <c r="B933" s="226"/>
      <c r="C933" s="226"/>
      <c r="D933" s="226"/>
      <c r="E933" s="226"/>
      <c r="F933" s="226"/>
      <c r="G933" s="226"/>
      <c r="H933" s="226"/>
      <c r="I933" s="226"/>
    </row>
    <row r="934" spans="1:9" ht="20.25">
      <c r="A934" s="226"/>
      <c r="B934" s="226"/>
      <c r="C934" s="226"/>
      <c r="D934" s="226"/>
      <c r="E934" s="226"/>
      <c r="F934" s="226"/>
      <c r="G934" s="226"/>
      <c r="H934" s="226"/>
      <c r="I934" s="226"/>
    </row>
    <row r="935" spans="1:9" ht="20.25">
      <c r="A935" s="226"/>
      <c r="B935" s="226"/>
      <c r="C935" s="226"/>
      <c r="D935" s="226"/>
      <c r="E935" s="226"/>
      <c r="F935" s="226"/>
      <c r="G935" s="226"/>
      <c r="H935" s="226"/>
      <c r="I935" s="226"/>
    </row>
    <row r="936" spans="1:9" ht="20.25">
      <c r="A936" s="226"/>
      <c r="B936" s="226"/>
      <c r="C936" s="226"/>
      <c r="D936" s="226"/>
      <c r="E936" s="226"/>
      <c r="F936" s="226"/>
      <c r="G936" s="226"/>
      <c r="H936" s="226"/>
      <c r="I936" s="226"/>
    </row>
    <row r="937" spans="1:9" ht="20.25">
      <c r="A937" s="226"/>
      <c r="B937" s="226"/>
      <c r="C937" s="226"/>
      <c r="D937" s="226"/>
      <c r="E937" s="226"/>
      <c r="F937" s="226"/>
      <c r="G937" s="226"/>
      <c r="H937" s="226"/>
      <c r="I937" s="226"/>
    </row>
    <row r="938" spans="1:9" ht="20.25">
      <c r="A938" s="226"/>
      <c r="B938" s="226"/>
      <c r="C938" s="226"/>
      <c r="D938" s="226"/>
      <c r="E938" s="226"/>
      <c r="F938" s="226"/>
      <c r="G938" s="226"/>
      <c r="H938" s="226"/>
      <c r="I938" s="226"/>
    </row>
    <row r="939" spans="1:9" ht="20.25">
      <c r="A939" s="226"/>
      <c r="B939" s="226"/>
      <c r="C939" s="226"/>
      <c r="D939" s="226"/>
      <c r="E939" s="226"/>
      <c r="F939" s="226"/>
      <c r="G939" s="226"/>
      <c r="H939" s="226"/>
      <c r="I939" s="226"/>
    </row>
    <row r="940" spans="1:9" ht="20.25">
      <c r="A940" s="226"/>
      <c r="B940" s="226"/>
      <c r="C940" s="226"/>
      <c r="D940" s="226"/>
      <c r="E940" s="226"/>
      <c r="F940" s="226"/>
      <c r="G940" s="226"/>
      <c r="H940" s="226"/>
      <c r="I940" s="226"/>
    </row>
    <row r="941" spans="1:9" ht="20.25">
      <c r="A941" s="226"/>
      <c r="B941" s="226"/>
      <c r="C941" s="226"/>
      <c r="D941" s="226"/>
      <c r="E941" s="226"/>
      <c r="F941" s="226"/>
      <c r="G941" s="226"/>
      <c r="H941" s="226"/>
      <c r="I941" s="226"/>
    </row>
    <row r="942" spans="1:9" ht="20.25">
      <c r="A942" s="226"/>
      <c r="B942" s="226"/>
      <c r="C942" s="226"/>
      <c r="D942" s="226"/>
      <c r="E942" s="226"/>
      <c r="F942" s="226"/>
      <c r="G942" s="226"/>
      <c r="H942" s="226"/>
      <c r="I942" s="226"/>
    </row>
    <row r="943" spans="1:9" ht="20.25">
      <c r="A943" s="226"/>
      <c r="B943" s="226"/>
      <c r="C943" s="226"/>
      <c r="D943" s="226"/>
      <c r="E943" s="226"/>
      <c r="F943" s="226"/>
      <c r="G943" s="226"/>
      <c r="H943" s="226"/>
      <c r="I943" s="226"/>
    </row>
    <row r="944" spans="1:9" ht="20.25">
      <c r="A944" s="226"/>
      <c r="B944" s="226"/>
      <c r="C944" s="226"/>
      <c r="D944" s="226"/>
      <c r="E944" s="226"/>
      <c r="F944" s="226"/>
      <c r="G944" s="226"/>
      <c r="H944" s="226"/>
      <c r="I944" s="226"/>
    </row>
    <row r="945" spans="1:9" ht="20.25">
      <c r="A945" s="226"/>
      <c r="B945" s="226"/>
      <c r="C945" s="226"/>
      <c r="D945" s="226"/>
      <c r="E945" s="226"/>
      <c r="F945" s="226"/>
      <c r="G945" s="226"/>
      <c r="H945" s="226"/>
      <c r="I945" s="226"/>
    </row>
    <row r="946" spans="1:9" ht="20.25">
      <c r="A946" s="226"/>
      <c r="B946" s="226"/>
      <c r="C946" s="226"/>
      <c r="D946" s="226"/>
      <c r="E946" s="226"/>
      <c r="F946" s="226"/>
      <c r="G946" s="226"/>
      <c r="H946" s="226"/>
      <c r="I946" s="226"/>
    </row>
    <row r="947" spans="1:9" ht="20.25">
      <c r="A947" s="226"/>
      <c r="B947" s="226"/>
      <c r="C947" s="226"/>
      <c r="D947" s="226"/>
      <c r="E947" s="226"/>
      <c r="F947" s="226"/>
      <c r="G947" s="226"/>
      <c r="H947" s="226"/>
      <c r="I947" s="226"/>
    </row>
    <row r="948" spans="1:9" ht="20.25">
      <c r="A948" s="226"/>
      <c r="B948" s="226"/>
      <c r="C948" s="226"/>
      <c r="D948" s="226"/>
      <c r="E948" s="226"/>
      <c r="F948" s="226"/>
      <c r="G948" s="226"/>
      <c r="H948" s="226"/>
      <c r="I948" s="226"/>
    </row>
    <row r="949" spans="1:9" ht="20.25">
      <c r="A949" s="226"/>
      <c r="B949" s="226"/>
      <c r="C949" s="226"/>
      <c r="D949" s="226"/>
      <c r="E949" s="226"/>
      <c r="F949" s="226"/>
      <c r="G949" s="226"/>
      <c r="H949" s="226"/>
      <c r="I949" s="226"/>
    </row>
    <row r="950" spans="1:9" ht="20.25">
      <c r="A950" s="226"/>
      <c r="B950" s="226"/>
      <c r="C950" s="226"/>
      <c r="D950" s="226"/>
      <c r="E950" s="226"/>
      <c r="F950" s="226"/>
      <c r="G950" s="226"/>
      <c r="H950" s="226"/>
      <c r="I950" s="226"/>
    </row>
    <row r="951" spans="1:9" ht="20.25">
      <c r="A951" s="226"/>
      <c r="B951" s="226"/>
      <c r="C951" s="226"/>
      <c r="D951" s="226"/>
      <c r="E951" s="226"/>
      <c r="F951" s="226"/>
      <c r="G951" s="226"/>
      <c r="H951" s="226"/>
      <c r="I951" s="226"/>
    </row>
    <row r="952" spans="1:9" ht="20.25">
      <c r="A952" s="226"/>
      <c r="B952" s="226"/>
      <c r="C952" s="226"/>
      <c r="D952" s="226"/>
      <c r="E952" s="226"/>
      <c r="F952" s="226"/>
      <c r="G952" s="226"/>
      <c r="H952" s="226"/>
      <c r="I952" s="226"/>
    </row>
  </sheetData>
  <mergeCells count="42">
    <mergeCell ref="B40:C40"/>
    <mergeCell ref="G29:H29"/>
    <mergeCell ref="G30:H30"/>
    <mergeCell ref="G31:H31"/>
    <mergeCell ref="G32:H32"/>
    <mergeCell ref="G33:H33"/>
    <mergeCell ref="G34:I34"/>
    <mergeCell ref="G35:I35"/>
    <mergeCell ref="G36:I36"/>
    <mergeCell ref="A37:I37"/>
    <mergeCell ref="B39:C39"/>
    <mergeCell ref="F39:G39"/>
    <mergeCell ref="G28:H28"/>
    <mergeCell ref="G17:H17"/>
    <mergeCell ref="G18:H18"/>
    <mergeCell ref="G19:H19"/>
    <mergeCell ref="G20:H20"/>
    <mergeCell ref="G21:H21"/>
    <mergeCell ref="G22:H22"/>
    <mergeCell ref="G23:H23"/>
    <mergeCell ref="G24:H24"/>
    <mergeCell ref="G25:H25"/>
    <mergeCell ref="G26:H26"/>
    <mergeCell ref="G27:H27"/>
    <mergeCell ref="G16:H16"/>
    <mergeCell ref="B6:D6"/>
    <mergeCell ref="F6:G6"/>
    <mergeCell ref="B7:D7"/>
    <mergeCell ref="F7:G7"/>
    <mergeCell ref="B8:G8"/>
    <mergeCell ref="G10:H10"/>
    <mergeCell ref="G11:H11"/>
    <mergeCell ref="G12:H12"/>
    <mergeCell ref="G13:H13"/>
    <mergeCell ref="G14:H14"/>
    <mergeCell ref="G15:H15"/>
    <mergeCell ref="G2:I2"/>
    <mergeCell ref="A3:I3"/>
    <mergeCell ref="B4:D4"/>
    <mergeCell ref="F4:G4"/>
    <mergeCell ref="B5:D5"/>
    <mergeCell ref="F5:G5"/>
  </mergeCells>
  <phoneticPr fontId="59"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84" t="s">
        <v>323</v>
      </c>
      <c r="B1" s="1084"/>
      <c r="C1" s="1084"/>
      <c r="D1" s="1084"/>
      <c r="E1" s="1084"/>
      <c r="F1" s="1084"/>
      <c r="G1" s="1084"/>
      <c r="H1" s="1084"/>
      <c r="I1" s="1084"/>
      <c r="J1" s="1084"/>
      <c r="K1" s="1084"/>
      <c r="L1" s="1084"/>
    </row>
    <row r="2" spans="1:12" ht="12">
      <c r="A2" s="1084"/>
      <c r="B2" s="1084"/>
      <c r="C2" s="1084"/>
      <c r="D2" s="1084"/>
      <c r="E2" s="1084"/>
      <c r="F2" s="1084"/>
      <c r="G2" s="1084"/>
      <c r="H2" s="1084"/>
      <c r="I2" s="1084"/>
      <c r="J2" s="1084"/>
      <c r="K2" s="1084"/>
      <c r="L2" s="1084"/>
    </row>
    <row r="3" spans="1:12" ht="12">
      <c r="A3" s="1085" t="s">
        <v>16</v>
      </c>
      <c r="B3" s="1085"/>
      <c r="C3" s="1085" t="e">
        <f>#REF!</f>
        <v>#REF!</v>
      </c>
      <c r="D3" s="1085"/>
      <c r="E3" s="1085"/>
      <c r="F3" s="1085"/>
      <c r="G3" s="1085"/>
      <c r="H3" s="1085"/>
      <c r="I3" s="1085" t="s">
        <v>324</v>
      </c>
      <c r="J3" s="1085"/>
      <c r="K3" s="1086" t="e">
        <f>[10]领料单!R2</f>
        <v>#REF!</v>
      </c>
      <c r="L3" s="1086"/>
    </row>
    <row r="4" spans="1:12" ht="12">
      <c r="A4" s="1081" t="s">
        <v>9</v>
      </c>
      <c r="B4" s="1081"/>
      <c r="C4" s="1081" t="e">
        <f>#REF!</f>
        <v>#REF!</v>
      </c>
      <c r="D4" s="1081"/>
      <c r="E4" s="1081" t="s">
        <v>17</v>
      </c>
      <c r="F4" s="1081"/>
      <c r="G4" s="1087">
        <f>[10]领料单!M3</f>
        <v>40889</v>
      </c>
      <c r="H4" s="1087"/>
      <c r="I4" s="1081" t="s">
        <v>11</v>
      </c>
      <c r="J4" s="1081"/>
      <c r="K4" s="1081" t="e">
        <f>#REF!</f>
        <v>#REF!</v>
      </c>
      <c r="L4" s="1081"/>
    </row>
    <row r="5" spans="1:12" ht="12">
      <c r="A5" s="1081" t="e">
        <f>#REF!</f>
        <v>#REF!</v>
      </c>
      <c r="B5" s="1081"/>
      <c r="C5" s="1081" t="e">
        <f>#REF!</f>
        <v>#REF!</v>
      </c>
      <c r="D5" s="1081"/>
      <c r="E5" s="1081" t="s">
        <v>10</v>
      </c>
      <c r="F5" s="1081"/>
      <c r="G5" s="1082" t="e">
        <f>[10]下料单!X2</f>
        <v>#REF!</v>
      </c>
      <c r="H5" s="1082"/>
      <c r="I5" s="1081"/>
      <c r="J5" s="1081"/>
      <c r="K5" s="1081"/>
      <c r="L5" s="1081"/>
    </row>
    <row r="6" spans="1:12" ht="12">
      <c r="A6" s="83" t="s">
        <v>18</v>
      </c>
      <c r="B6" s="83" t="s">
        <v>325</v>
      </c>
      <c r="C6" s="83" t="s">
        <v>326</v>
      </c>
      <c r="D6" s="83" t="s">
        <v>327</v>
      </c>
      <c r="E6" s="83" t="s">
        <v>328</v>
      </c>
      <c r="F6" s="1083" t="s">
        <v>19</v>
      </c>
      <c r="G6" s="1083"/>
      <c r="H6" s="1083"/>
      <c r="I6" s="1083"/>
      <c r="J6" s="83" t="s">
        <v>329</v>
      </c>
      <c r="K6" s="83" t="s">
        <v>4</v>
      </c>
      <c r="L6" s="83" t="s">
        <v>330</v>
      </c>
    </row>
    <row r="7" spans="1:12" ht="12">
      <c r="A7" s="1080">
        <v>1</v>
      </c>
      <c r="B7" s="1080" t="s">
        <v>331</v>
      </c>
      <c r="C7" s="1080">
        <v>720</v>
      </c>
      <c r="D7" s="1080" t="s">
        <v>332</v>
      </c>
      <c r="E7" s="1080">
        <v>1</v>
      </c>
      <c r="F7" s="1080" t="s">
        <v>333</v>
      </c>
      <c r="G7" s="1080"/>
      <c r="H7" s="1080"/>
      <c r="I7" s="1080"/>
      <c r="J7" s="84">
        <f>E7*1</f>
        <v>1</v>
      </c>
      <c r="K7" s="84" t="s">
        <v>334</v>
      </c>
      <c r="L7" s="84"/>
    </row>
    <row r="8" spans="1:12" ht="12">
      <c r="A8" s="1080"/>
      <c r="B8" s="1080"/>
      <c r="C8" s="1080"/>
      <c r="D8" s="1080"/>
      <c r="E8" s="1080"/>
      <c r="F8" s="1076" t="s">
        <v>335</v>
      </c>
      <c r="G8" s="1077"/>
      <c r="H8" s="1077"/>
      <c r="I8" s="1078"/>
      <c r="J8" s="84">
        <f>E7*2</f>
        <v>2</v>
      </c>
      <c r="K8" s="84" t="s">
        <v>336</v>
      </c>
      <c r="L8" s="84"/>
    </row>
    <row r="9" spans="1:12" ht="12">
      <c r="A9" s="1080">
        <v>2</v>
      </c>
      <c r="B9" s="1080" t="s">
        <v>337</v>
      </c>
      <c r="C9" s="1080">
        <v>720</v>
      </c>
      <c r="D9" s="1080" t="s">
        <v>338</v>
      </c>
      <c r="E9" s="1080">
        <v>1</v>
      </c>
      <c r="F9" s="1080" t="s">
        <v>339</v>
      </c>
      <c r="G9" s="1080"/>
      <c r="H9" s="1080"/>
      <c r="I9" s="1080"/>
      <c r="J9" s="84">
        <f>E9*1</f>
        <v>1</v>
      </c>
      <c r="K9" s="84" t="s">
        <v>334</v>
      </c>
      <c r="L9" s="84"/>
    </row>
    <row r="10" spans="1:12" ht="12">
      <c r="A10" s="1080"/>
      <c r="B10" s="1080"/>
      <c r="C10" s="1080"/>
      <c r="D10" s="1080"/>
      <c r="E10" s="1080"/>
      <c r="F10" s="1076" t="s">
        <v>335</v>
      </c>
      <c r="G10" s="1077"/>
      <c r="H10" s="1077"/>
      <c r="I10" s="1078"/>
      <c r="J10" s="84">
        <f>+E9*2.6</f>
        <v>2.6</v>
      </c>
      <c r="K10" s="84" t="s">
        <v>336</v>
      </c>
      <c r="L10" s="84"/>
    </row>
    <row r="11" spans="1:12" ht="12">
      <c r="A11" s="1080"/>
      <c r="B11" s="1080"/>
      <c r="C11" s="1080"/>
      <c r="D11" s="1080"/>
      <c r="E11" s="1080"/>
      <c r="F11" s="1079" t="s">
        <v>340</v>
      </c>
      <c r="G11" s="1079"/>
      <c r="H11" s="1079"/>
      <c r="I11" s="1079"/>
      <c r="J11" s="85">
        <f>+E9*0.3</f>
        <v>0.3</v>
      </c>
      <c r="K11" s="85" t="s">
        <v>341</v>
      </c>
      <c r="L11" s="85" t="s">
        <v>342</v>
      </c>
    </row>
    <row r="12" spans="1:12" ht="12">
      <c r="A12" s="1080">
        <v>3</v>
      </c>
      <c r="B12" s="1080" t="s">
        <v>343</v>
      </c>
      <c r="C12" s="1080">
        <v>720</v>
      </c>
      <c r="D12" s="1080" t="s">
        <v>338</v>
      </c>
      <c r="E12" s="1080">
        <v>1</v>
      </c>
      <c r="F12" s="1080" t="s">
        <v>344</v>
      </c>
      <c r="G12" s="1080"/>
      <c r="H12" s="1080"/>
      <c r="I12" s="1080"/>
      <c r="J12" s="84">
        <f>E12*1</f>
        <v>1</v>
      </c>
      <c r="K12" s="84" t="s">
        <v>334</v>
      </c>
      <c r="L12" s="84"/>
    </row>
    <row r="13" spans="1:12" ht="12">
      <c r="A13" s="1080"/>
      <c r="B13" s="1080"/>
      <c r="C13" s="1080"/>
      <c r="D13" s="1080"/>
      <c r="E13" s="1080"/>
      <c r="F13" s="1076" t="s">
        <v>335</v>
      </c>
      <c r="G13" s="1077"/>
      <c r="H13" s="1077"/>
      <c r="I13" s="1078"/>
      <c r="J13" s="84">
        <f>+E12*3</f>
        <v>3</v>
      </c>
      <c r="K13" s="84" t="s">
        <v>336</v>
      </c>
      <c r="L13" s="84"/>
    </row>
    <row r="14" spans="1:12" ht="12">
      <c r="A14" s="1080"/>
      <c r="B14" s="1080"/>
      <c r="C14" s="1080"/>
      <c r="D14" s="1080"/>
      <c r="E14" s="1080"/>
      <c r="F14" s="1079" t="s">
        <v>340</v>
      </c>
      <c r="G14" s="1079"/>
      <c r="H14" s="1079"/>
      <c r="I14" s="1079"/>
      <c r="J14" s="85">
        <f>+E12*0.3</f>
        <v>0.3</v>
      </c>
      <c r="K14" s="85" t="s">
        <v>341</v>
      </c>
      <c r="L14" s="85" t="s">
        <v>342</v>
      </c>
    </row>
    <row r="15" spans="1:12" ht="12">
      <c r="A15" s="1080">
        <v>4</v>
      </c>
      <c r="B15" s="1080" t="s">
        <v>345</v>
      </c>
      <c r="C15" s="1080">
        <v>720</v>
      </c>
      <c r="D15" s="1080" t="s">
        <v>338</v>
      </c>
      <c r="E15" s="1080">
        <v>1</v>
      </c>
      <c r="F15" s="1080" t="s">
        <v>346</v>
      </c>
      <c r="G15" s="1080"/>
      <c r="H15" s="1080"/>
      <c r="I15" s="1080"/>
      <c r="J15" s="84">
        <f>+E15*1</f>
        <v>1</v>
      </c>
      <c r="K15" s="84" t="s">
        <v>334</v>
      </c>
      <c r="L15" s="84"/>
    </row>
    <row r="16" spans="1:12" ht="12">
      <c r="A16" s="1080"/>
      <c r="B16" s="1080"/>
      <c r="C16" s="1080"/>
      <c r="D16" s="1080"/>
      <c r="E16" s="1080"/>
      <c r="F16" s="1076" t="s">
        <v>335</v>
      </c>
      <c r="G16" s="1077"/>
      <c r="H16" s="1077"/>
      <c r="I16" s="1078"/>
      <c r="J16" s="84">
        <f>+E15*3.7</f>
        <v>3.7</v>
      </c>
      <c r="K16" s="84" t="s">
        <v>336</v>
      </c>
      <c r="L16" s="84"/>
    </row>
    <row r="17" spans="1:12" ht="12">
      <c r="A17" s="1080"/>
      <c r="B17" s="1080"/>
      <c r="C17" s="1080"/>
      <c r="D17" s="1080"/>
      <c r="E17" s="1080"/>
      <c r="F17" s="1079" t="s">
        <v>340</v>
      </c>
      <c r="G17" s="1079"/>
      <c r="H17" s="1079"/>
      <c r="I17" s="1079"/>
      <c r="J17" s="85">
        <f>+E15*0.5</f>
        <v>0.5</v>
      </c>
      <c r="K17" s="85" t="s">
        <v>341</v>
      </c>
      <c r="L17" s="85" t="s">
        <v>342</v>
      </c>
    </row>
    <row r="18" spans="1:12" ht="12">
      <c r="A18" s="1080">
        <v>5</v>
      </c>
      <c r="B18" s="1080" t="s">
        <v>347</v>
      </c>
      <c r="C18" s="1080">
        <v>720</v>
      </c>
      <c r="D18" s="1080" t="s">
        <v>338</v>
      </c>
      <c r="E18" s="1080">
        <v>1</v>
      </c>
      <c r="F18" s="1080" t="s">
        <v>348</v>
      </c>
      <c r="G18" s="1080"/>
      <c r="H18" s="1080"/>
      <c r="I18" s="1080"/>
      <c r="J18" s="84">
        <f>+E18*1</f>
        <v>1</v>
      </c>
      <c r="K18" s="84" t="s">
        <v>334</v>
      </c>
      <c r="L18" s="84"/>
    </row>
    <row r="19" spans="1:12" ht="12">
      <c r="A19" s="1080"/>
      <c r="B19" s="1080"/>
      <c r="C19" s="1080"/>
      <c r="D19" s="1080"/>
      <c r="E19" s="1080"/>
      <c r="F19" s="1076" t="s">
        <v>335</v>
      </c>
      <c r="G19" s="1077"/>
      <c r="H19" s="1077"/>
      <c r="I19" s="1078"/>
      <c r="J19" s="84">
        <f>+E18*4.5</f>
        <v>4.5</v>
      </c>
      <c r="K19" s="84" t="s">
        <v>336</v>
      </c>
      <c r="L19" s="84"/>
    </row>
    <row r="20" spans="1:12" ht="12">
      <c r="A20" s="1080"/>
      <c r="B20" s="1080"/>
      <c r="C20" s="1080"/>
      <c r="D20" s="1080"/>
      <c r="E20" s="1080"/>
      <c r="F20" s="1079" t="s">
        <v>340</v>
      </c>
      <c r="G20" s="1079"/>
      <c r="H20" s="1079"/>
      <c r="I20" s="1079"/>
      <c r="J20" s="85">
        <f>+E18*0.5</f>
        <v>0.5</v>
      </c>
      <c r="K20" s="85" t="s">
        <v>341</v>
      </c>
      <c r="L20" s="85" t="s">
        <v>342</v>
      </c>
    </row>
    <row r="21" spans="1:12" ht="12">
      <c r="A21" s="1080">
        <v>6</v>
      </c>
      <c r="B21" s="1080" t="s">
        <v>337</v>
      </c>
      <c r="C21" s="1080">
        <v>1440</v>
      </c>
      <c r="D21" s="1080" t="s">
        <v>349</v>
      </c>
      <c r="E21" s="1080">
        <v>1</v>
      </c>
      <c r="F21" s="1080" t="s">
        <v>339</v>
      </c>
      <c r="G21" s="1080"/>
      <c r="H21" s="1080"/>
      <c r="I21" s="1080"/>
      <c r="J21" s="84">
        <f>E21*1*2</f>
        <v>2</v>
      </c>
      <c r="K21" s="84" t="s">
        <v>334</v>
      </c>
      <c r="L21" s="84"/>
    </row>
    <row r="22" spans="1:12" ht="12">
      <c r="A22" s="1080"/>
      <c r="B22" s="1080"/>
      <c r="C22" s="1080"/>
      <c r="D22" s="1080"/>
      <c r="E22" s="1080"/>
      <c r="F22" s="1076" t="s">
        <v>335</v>
      </c>
      <c r="G22" s="1077"/>
      <c r="H22" s="1077"/>
      <c r="I22" s="1078"/>
      <c r="J22" s="84">
        <f>+E21*2.6*2</f>
        <v>5.2</v>
      </c>
      <c r="K22" s="84" t="s">
        <v>336</v>
      </c>
      <c r="L22" s="84"/>
    </row>
    <row r="23" spans="1:12" ht="12">
      <c r="A23" s="1080"/>
      <c r="B23" s="1080"/>
      <c r="C23" s="1080"/>
      <c r="D23" s="1080"/>
      <c r="E23" s="1080"/>
      <c r="F23" s="1079" t="s">
        <v>340</v>
      </c>
      <c r="G23" s="1079"/>
      <c r="H23" s="1079"/>
      <c r="I23" s="1079"/>
      <c r="J23" s="85">
        <f>+E21*0.3*2</f>
        <v>0.6</v>
      </c>
      <c r="K23" s="85" t="s">
        <v>341</v>
      </c>
      <c r="L23" s="85" t="s">
        <v>342</v>
      </c>
    </row>
    <row r="24" spans="1:12" ht="12">
      <c r="A24" s="1080">
        <v>7</v>
      </c>
      <c r="B24" s="1080" t="s">
        <v>343</v>
      </c>
      <c r="C24" s="1080">
        <v>1440</v>
      </c>
      <c r="D24" s="1080" t="s">
        <v>349</v>
      </c>
      <c r="E24" s="1080">
        <v>1</v>
      </c>
      <c r="F24" s="1080" t="s">
        <v>344</v>
      </c>
      <c r="G24" s="1080"/>
      <c r="H24" s="1080"/>
      <c r="I24" s="1080"/>
      <c r="J24" s="84">
        <f>E24*1*2</f>
        <v>2</v>
      </c>
      <c r="K24" s="84" t="s">
        <v>334</v>
      </c>
      <c r="L24" s="84"/>
    </row>
    <row r="25" spans="1:12" ht="12">
      <c r="A25" s="1080"/>
      <c r="B25" s="1080"/>
      <c r="C25" s="1080"/>
      <c r="D25" s="1080"/>
      <c r="E25" s="1080"/>
      <c r="F25" s="1076" t="s">
        <v>335</v>
      </c>
      <c r="G25" s="1077"/>
      <c r="H25" s="1077"/>
      <c r="I25" s="1078"/>
      <c r="J25" s="84">
        <f>+E24*3*2</f>
        <v>6</v>
      </c>
      <c r="K25" s="84" t="s">
        <v>336</v>
      </c>
      <c r="L25" s="84"/>
    </row>
    <row r="26" spans="1:12" ht="12">
      <c r="A26" s="1080"/>
      <c r="B26" s="1080"/>
      <c r="C26" s="1080"/>
      <c r="D26" s="1080"/>
      <c r="E26" s="1080"/>
      <c r="F26" s="1079" t="s">
        <v>340</v>
      </c>
      <c r="G26" s="1079"/>
      <c r="H26" s="1079"/>
      <c r="I26" s="1079"/>
      <c r="J26" s="85">
        <f>+E24*0.3*2</f>
        <v>0.6</v>
      </c>
      <c r="K26" s="85" t="s">
        <v>341</v>
      </c>
      <c r="L26" s="85" t="s">
        <v>342</v>
      </c>
    </row>
    <row r="27" spans="1:12" ht="12">
      <c r="A27" s="1080">
        <v>8</v>
      </c>
      <c r="B27" s="1080" t="s">
        <v>345</v>
      </c>
      <c r="C27" s="1080">
        <v>1440</v>
      </c>
      <c r="D27" s="1080" t="s">
        <v>349</v>
      </c>
      <c r="E27" s="1080">
        <v>1</v>
      </c>
      <c r="F27" s="1080" t="s">
        <v>346</v>
      </c>
      <c r="G27" s="1080"/>
      <c r="H27" s="1080"/>
      <c r="I27" s="1080"/>
      <c r="J27" s="84">
        <f>+E27*1*2</f>
        <v>2</v>
      </c>
      <c r="K27" s="84" t="s">
        <v>334</v>
      </c>
      <c r="L27" s="84"/>
    </row>
    <row r="28" spans="1:12" ht="12">
      <c r="A28" s="1080"/>
      <c r="B28" s="1080"/>
      <c r="C28" s="1080"/>
      <c r="D28" s="1080"/>
      <c r="E28" s="1080"/>
      <c r="F28" s="1076" t="s">
        <v>335</v>
      </c>
      <c r="G28" s="1077"/>
      <c r="H28" s="1077"/>
      <c r="I28" s="1078"/>
      <c r="J28" s="84">
        <f>+E27*3.7*2</f>
        <v>7.4</v>
      </c>
      <c r="K28" s="84" t="s">
        <v>336</v>
      </c>
      <c r="L28" s="84"/>
    </row>
    <row r="29" spans="1:12" ht="12">
      <c r="A29" s="1080"/>
      <c r="B29" s="1080"/>
      <c r="C29" s="1080"/>
      <c r="D29" s="1080"/>
      <c r="E29" s="1080"/>
      <c r="F29" s="1079" t="s">
        <v>340</v>
      </c>
      <c r="G29" s="1079"/>
      <c r="H29" s="1079"/>
      <c r="I29" s="1079"/>
      <c r="J29" s="85">
        <f>+E27*0.5*2</f>
        <v>1</v>
      </c>
      <c r="K29" s="85" t="s">
        <v>341</v>
      </c>
      <c r="L29" s="85" t="s">
        <v>342</v>
      </c>
    </row>
    <row r="30" spans="1:12" ht="12">
      <c r="A30" s="1080">
        <v>9</v>
      </c>
      <c r="B30" s="1080" t="s">
        <v>347</v>
      </c>
      <c r="C30" s="1080">
        <v>1440</v>
      </c>
      <c r="D30" s="1080" t="s">
        <v>349</v>
      </c>
      <c r="E30" s="1080">
        <v>1</v>
      </c>
      <c r="F30" s="1080" t="s">
        <v>348</v>
      </c>
      <c r="G30" s="1080"/>
      <c r="H30" s="1080"/>
      <c r="I30" s="1080"/>
      <c r="J30" s="84">
        <f>+E30*1*2</f>
        <v>2</v>
      </c>
      <c r="K30" s="84" t="s">
        <v>334</v>
      </c>
      <c r="L30" s="84"/>
    </row>
    <row r="31" spans="1:12" ht="12">
      <c r="A31" s="1080"/>
      <c r="B31" s="1080"/>
      <c r="C31" s="1080"/>
      <c r="D31" s="1080"/>
      <c r="E31" s="1080"/>
      <c r="F31" s="1076" t="s">
        <v>335</v>
      </c>
      <c r="G31" s="1077"/>
      <c r="H31" s="1077"/>
      <c r="I31" s="1078"/>
      <c r="J31" s="84">
        <f>+E30*4.5*2</f>
        <v>9</v>
      </c>
      <c r="K31" s="84" t="s">
        <v>336</v>
      </c>
      <c r="L31" s="84"/>
    </row>
    <row r="32" spans="1:12" ht="12">
      <c r="A32" s="1080"/>
      <c r="B32" s="1080"/>
      <c r="C32" s="1080"/>
      <c r="D32" s="1080"/>
      <c r="E32" s="1080"/>
      <c r="F32" s="1079" t="s">
        <v>340</v>
      </c>
      <c r="G32" s="1079"/>
      <c r="H32" s="1079"/>
      <c r="I32" s="1079"/>
      <c r="J32" s="85">
        <f>+E30*0.5*2</f>
        <v>1</v>
      </c>
      <c r="K32" s="85" t="s">
        <v>341</v>
      </c>
      <c r="L32" s="85" t="s">
        <v>342</v>
      </c>
    </row>
    <row r="33" spans="1:20" ht="12">
      <c r="A33" s="1080">
        <v>10</v>
      </c>
      <c r="B33" s="1080" t="s">
        <v>350</v>
      </c>
      <c r="C33" s="1080">
        <v>2160</v>
      </c>
      <c r="D33" s="1080" t="s">
        <v>351</v>
      </c>
      <c r="E33" s="1080">
        <v>1</v>
      </c>
      <c r="F33" s="1080" t="s">
        <v>352</v>
      </c>
      <c r="G33" s="1080"/>
      <c r="H33" s="1080"/>
      <c r="I33" s="1080"/>
      <c r="J33" s="84">
        <f>+E33*1</f>
        <v>1</v>
      </c>
      <c r="K33" s="84" t="s">
        <v>334</v>
      </c>
      <c r="L33" s="84"/>
    </row>
    <row r="34" spans="1:20" ht="12">
      <c r="A34" s="1080"/>
      <c r="B34" s="1080"/>
      <c r="C34" s="1080"/>
      <c r="D34" s="1080"/>
      <c r="E34" s="1080"/>
      <c r="F34" s="1076" t="s">
        <v>335</v>
      </c>
      <c r="G34" s="1077"/>
      <c r="H34" s="1077"/>
      <c r="I34" s="1078"/>
      <c r="J34" s="84">
        <f>+E33*5</f>
        <v>5</v>
      </c>
      <c r="K34" s="84" t="s">
        <v>336</v>
      </c>
      <c r="L34" s="84"/>
    </row>
    <row r="35" spans="1:20" ht="12">
      <c r="A35" s="1080"/>
      <c r="B35" s="1080"/>
      <c r="C35" s="1080"/>
      <c r="D35" s="1080"/>
      <c r="E35" s="1080"/>
      <c r="F35" s="1079" t="s">
        <v>340</v>
      </c>
      <c r="G35" s="1079"/>
      <c r="H35" s="1079"/>
      <c r="I35" s="1079"/>
      <c r="J35" s="85">
        <f>+E33*0.5</f>
        <v>0.5</v>
      </c>
      <c r="K35" s="85" t="s">
        <v>341</v>
      </c>
      <c r="L35" s="85" t="s">
        <v>342</v>
      </c>
    </row>
    <row r="36" spans="1:20" s="86" customFormat="1" ht="14.25">
      <c r="A36" s="86" t="s">
        <v>353</v>
      </c>
      <c r="M36" s="81" t="s">
        <v>354</v>
      </c>
      <c r="T36" s="87"/>
    </row>
    <row r="37" spans="1:20" ht="12">
      <c r="A37" s="1072">
        <v>11</v>
      </c>
      <c r="B37" s="1073" t="s">
        <v>328</v>
      </c>
      <c r="C37" s="1073"/>
      <c r="D37" s="1074" t="s">
        <v>355</v>
      </c>
      <c r="E37" s="1073"/>
      <c r="F37" s="1075" t="s">
        <v>356</v>
      </c>
      <c r="G37" s="1075"/>
      <c r="H37" s="1075"/>
      <c r="I37" s="1075"/>
      <c r="J37" s="84">
        <v>1</v>
      </c>
      <c r="K37" s="84" t="s">
        <v>357</v>
      </c>
      <c r="L37" s="84"/>
      <c r="M37" s="81">
        <f>J37*1.5</f>
        <v>1.5</v>
      </c>
    </row>
    <row r="38" spans="1:20" ht="12">
      <c r="A38" s="1072"/>
      <c r="B38" s="1073"/>
      <c r="C38" s="1073"/>
      <c r="D38" s="1073"/>
      <c r="E38" s="1073"/>
      <c r="F38" s="1076" t="s">
        <v>335</v>
      </c>
      <c r="G38" s="1077"/>
      <c r="H38" s="1077"/>
      <c r="I38" s="1078"/>
      <c r="J38" s="84">
        <v>30</v>
      </c>
      <c r="K38" s="84" t="s">
        <v>358</v>
      </c>
      <c r="L38" s="84"/>
      <c r="M38" s="81">
        <f t="shared" ref="M38:M48" si="0">J38*1.5</f>
        <v>45</v>
      </c>
    </row>
    <row r="39" spans="1:20" ht="12">
      <c r="A39" s="1072"/>
      <c r="B39" s="1073"/>
      <c r="C39" s="1073"/>
      <c r="D39" s="1073"/>
      <c r="E39" s="1073"/>
      <c r="F39" s="1075" t="s">
        <v>359</v>
      </c>
      <c r="G39" s="1075"/>
      <c r="H39" s="1075"/>
      <c r="I39" s="1075"/>
      <c r="J39" s="84">
        <v>2</v>
      </c>
      <c r="K39" s="84" t="s">
        <v>357</v>
      </c>
      <c r="L39" s="84"/>
      <c r="M39" s="81">
        <f t="shared" si="0"/>
        <v>3</v>
      </c>
    </row>
    <row r="40" spans="1:20" ht="12" customHeight="1">
      <c r="A40" s="1072"/>
      <c r="B40" s="1073"/>
      <c r="C40" s="1073"/>
      <c r="D40" s="1073"/>
      <c r="E40" s="1073"/>
      <c r="F40" s="1066" t="s">
        <v>449</v>
      </c>
      <c r="G40" s="1067"/>
      <c r="H40" s="1067"/>
      <c r="I40" s="1068"/>
      <c r="J40" s="1064">
        <v>32</v>
      </c>
      <c r="K40" s="1064" t="s">
        <v>447</v>
      </c>
      <c r="L40" s="84"/>
      <c r="M40" s="81">
        <f t="shared" si="0"/>
        <v>48</v>
      </c>
    </row>
    <row r="41" spans="1:20" ht="12" customHeight="1">
      <c r="A41" s="1072"/>
      <c r="B41" s="1073"/>
      <c r="C41" s="1073"/>
      <c r="D41" s="1073"/>
      <c r="E41" s="1073"/>
      <c r="F41" s="1069"/>
      <c r="G41" s="1070"/>
      <c r="H41" s="1070"/>
      <c r="I41" s="1071"/>
      <c r="J41" s="1065"/>
      <c r="K41" s="1065"/>
      <c r="L41" s="84"/>
      <c r="M41" s="81">
        <f t="shared" si="0"/>
        <v>0</v>
      </c>
    </row>
    <row r="42" spans="1:20" ht="24">
      <c r="A42" s="1072"/>
      <c r="B42" s="1073"/>
      <c r="C42" s="1073"/>
      <c r="D42" s="1073"/>
      <c r="E42" s="1073"/>
      <c r="F42" s="1079" t="s">
        <v>361</v>
      </c>
      <c r="G42" s="1079"/>
      <c r="H42" s="1079"/>
      <c r="I42" s="1079"/>
      <c r="J42" s="85">
        <v>12</v>
      </c>
      <c r="K42" s="85" t="s">
        <v>362</v>
      </c>
      <c r="L42" s="85" t="s">
        <v>363</v>
      </c>
      <c r="M42" s="81">
        <f t="shared" si="0"/>
        <v>18</v>
      </c>
    </row>
    <row r="43" spans="1:20" ht="12">
      <c r="A43" s="1072">
        <v>12</v>
      </c>
      <c r="B43" s="1073" t="s">
        <v>328</v>
      </c>
      <c r="C43" s="1073"/>
      <c r="D43" s="1074" t="s">
        <v>364</v>
      </c>
      <c r="E43" s="1073"/>
      <c r="F43" s="1075" t="s">
        <v>356</v>
      </c>
      <c r="G43" s="1075"/>
      <c r="H43" s="1075"/>
      <c r="I43" s="1075"/>
      <c r="J43" s="84">
        <v>2</v>
      </c>
      <c r="K43" s="84" t="s">
        <v>341</v>
      </c>
      <c r="L43" s="88"/>
      <c r="M43" s="81">
        <f t="shared" si="0"/>
        <v>3</v>
      </c>
    </row>
    <row r="44" spans="1:20" ht="12">
      <c r="A44" s="1072"/>
      <c r="B44" s="1073"/>
      <c r="C44" s="1073"/>
      <c r="D44" s="1073"/>
      <c r="E44" s="1073"/>
      <c r="F44" s="1076" t="s">
        <v>335</v>
      </c>
      <c r="G44" s="1077"/>
      <c r="H44" s="1077"/>
      <c r="I44" s="1078"/>
      <c r="J44" s="84">
        <v>50</v>
      </c>
      <c r="K44" s="84" t="s">
        <v>358</v>
      </c>
      <c r="L44" s="88"/>
      <c r="M44" s="81">
        <f t="shared" si="0"/>
        <v>75</v>
      </c>
    </row>
    <row r="45" spans="1:20" ht="12">
      <c r="A45" s="1072"/>
      <c r="B45" s="1073"/>
      <c r="C45" s="1073"/>
      <c r="D45" s="1073"/>
      <c r="E45" s="1073"/>
      <c r="F45" s="1075" t="s">
        <v>359</v>
      </c>
      <c r="G45" s="1075"/>
      <c r="H45" s="1075"/>
      <c r="I45" s="1075"/>
      <c r="J45" s="84">
        <v>3</v>
      </c>
      <c r="K45" s="84" t="s">
        <v>341</v>
      </c>
      <c r="L45" s="88"/>
      <c r="M45" s="81">
        <f t="shared" si="0"/>
        <v>4.5</v>
      </c>
    </row>
    <row r="46" spans="1:20" ht="12" customHeight="1">
      <c r="A46" s="1072"/>
      <c r="B46" s="1073"/>
      <c r="C46" s="1073"/>
      <c r="D46" s="1073"/>
      <c r="E46" s="1073"/>
      <c r="F46" s="1066" t="s">
        <v>448</v>
      </c>
      <c r="G46" s="1067"/>
      <c r="H46" s="1067"/>
      <c r="I46" s="1068"/>
      <c r="J46" s="1064">
        <v>60</v>
      </c>
      <c r="K46" s="1064" t="s">
        <v>447</v>
      </c>
      <c r="L46" s="88"/>
      <c r="M46" s="81">
        <f t="shared" si="0"/>
        <v>90</v>
      </c>
    </row>
    <row r="47" spans="1:20" ht="12" customHeight="1">
      <c r="A47" s="1072"/>
      <c r="B47" s="1073"/>
      <c r="C47" s="1073"/>
      <c r="D47" s="1073"/>
      <c r="E47" s="1073"/>
      <c r="F47" s="1069"/>
      <c r="G47" s="1070"/>
      <c r="H47" s="1070"/>
      <c r="I47" s="1071"/>
      <c r="J47" s="1065"/>
      <c r="K47" s="1065"/>
      <c r="L47" s="88"/>
      <c r="M47" s="81">
        <f t="shared" si="0"/>
        <v>0</v>
      </c>
    </row>
    <row r="48" spans="1:20" ht="24">
      <c r="A48" s="1072"/>
      <c r="B48" s="1073"/>
      <c r="C48" s="1073"/>
      <c r="D48" s="1073"/>
      <c r="E48" s="1073"/>
      <c r="F48" s="1079" t="s">
        <v>361</v>
      </c>
      <c r="G48" s="1079"/>
      <c r="H48" s="1079"/>
      <c r="I48" s="1079"/>
      <c r="J48" s="85">
        <v>20</v>
      </c>
      <c r="K48" s="85" t="s">
        <v>362</v>
      </c>
      <c r="L48" s="85" t="s">
        <v>363</v>
      </c>
      <c r="M48" s="81">
        <f t="shared" si="0"/>
        <v>30</v>
      </c>
    </row>
    <row r="49" spans="1:12" ht="15" customHeight="1">
      <c r="A49" s="1088" t="s">
        <v>446</v>
      </c>
      <c r="B49" s="1088"/>
      <c r="C49" s="1088"/>
      <c r="D49" s="1088"/>
      <c r="E49" s="1088"/>
      <c r="F49" s="1088"/>
      <c r="G49" s="1088"/>
      <c r="H49" s="1088"/>
      <c r="I49" s="1088"/>
      <c r="J49" s="1088"/>
      <c r="K49" s="1088"/>
      <c r="L49" s="1089"/>
    </row>
    <row r="50" spans="1:12" ht="15" customHeight="1">
      <c r="A50" s="1080">
        <v>1</v>
      </c>
      <c r="B50" s="1066" t="s">
        <v>437</v>
      </c>
      <c r="C50" s="1068"/>
      <c r="D50" s="1080" t="s">
        <v>438</v>
      </c>
      <c r="E50" s="1092">
        <v>1</v>
      </c>
      <c r="F50" s="1080" t="s">
        <v>399</v>
      </c>
      <c r="G50" s="1080"/>
      <c r="H50" s="1080"/>
      <c r="I50" s="1080"/>
      <c r="J50" s="93">
        <f>E50*2</f>
        <v>2</v>
      </c>
      <c r="K50" s="93" t="s">
        <v>357</v>
      </c>
      <c r="L50" s="1080" t="s">
        <v>439</v>
      </c>
    </row>
    <row r="51" spans="1:12" ht="12">
      <c r="A51" s="1080"/>
      <c r="B51" s="1090"/>
      <c r="C51" s="1091"/>
      <c r="D51" s="1080"/>
      <c r="E51" s="1093"/>
      <c r="F51" s="1076" t="s">
        <v>335</v>
      </c>
      <c r="G51" s="1077"/>
      <c r="H51" s="1077"/>
      <c r="I51" s="1078"/>
      <c r="J51" s="93">
        <f>+E50*5</f>
        <v>5</v>
      </c>
      <c r="K51" s="93" t="s">
        <v>336</v>
      </c>
      <c r="L51" s="1080"/>
    </row>
    <row r="52" spans="1:12" ht="15" customHeight="1">
      <c r="A52" s="1080"/>
      <c r="B52" s="1090"/>
      <c r="C52" s="1091"/>
      <c r="D52" s="1080"/>
      <c r="E52" s="1093"/>
      <c r="F52" s="1080" t="s">
        <v>386</v>
      </c>
      <c r="G52" s="1080"/>
      <c r="H52" s="1080"/>
      <c r="I52" s="1080"/>
      <c r="J52" s="93">
        <f>+E50*1</f>
        <v>1</v>
      </c>
      <c r="K52" s="93" t="s">
        <v>341</v>
      </c>
      <c r="L52" s="1080"/>
    </row>
    <row r="53" spans="1:12" ht="15" customHeight="1">
      <c r="A53" s="1080"/>
      <c r="B53" s="1069"/>
      <c r="C53" s="1071"/>
      <c r="D53" s="1080"/>
      <c r="E53" s="1093"/>
      <c r="F53" s="1080" t="s">
        <v>401</v>
      </c>
      <c r="G53" s="1080"/>
      <c r="H53" s="1080"/>
      <c r="I53" s="1080"/>
      <c r="J53" s="93">
        <f>+E50*8</f>
        <v>8</v>
      </c>
      <c r="K53" s="93" t="s">
        <v>360</v>
      </c>
      <c r="L53" s="1080"/>
    </row>
    <row r="54" spans="1:12" ht="15" customHeight="1">
      <c r="A54" s="1080">
        <v>2</v>
      </c>
      <c r="B54" s="1066" t="s">
        <v>441</v>
      </c>
      <c r="C54" s="1068"/>
      <c r="D54" s="1080" t="s">
        <v>442</v>
      </c>
      <c r="E54" s="1092">
        <v>1</v>
      </c>
      <c r="F54" s="1080" t="s">
        <v>399</v>
      </c>
      <c r="G54" s="1080"/>
      <c r="H54" s="1080"/>
      <c r="I54" s="1080"/>
      <c r="J54" s="93">
        <f>E54*1</f>
        <v>1</v>
      </c>
      <c r="K54" s="93" t="s">
        <v>341</v>
      </c>
      <c r="L54" s="1080"/>
    </row>
    <row r="55" spans="1:12" ht="15" customHeight="1">
      <c r="A55" s="1080"/>
      <c r="B55" s="1090"/>
      <c r="C55" s="1091"/>
      <c r="D55" s="1080"/>
      <c r="E55" s="1093"/>
      <c r="F55" s="1076" t="s">
        <v>335</v>
      </c>
      <c r="G55" s="1077"/>
      <c r="H55" s="1077"/>
      <c r="I55" s="1078"/>
      <c r="J55" s="93">
        <f>+E54*4</f>
        <v>4</v>
      </c>
      <c r="K55" s="93" t="s">
        <v>358</v>
      </c>
      <c r="L55" s="1080"/>
    </row>
    <row r="56" spans="1:12" ht="15" customHeight="1">
      <c r="A56" s="1080"/>
      <c r="B56" s="1090"/>
      <c r="C56" s="1091"/>
      <c r="D56" s="1080"/>
      <c r="E56" s="1093"/>
      <c r="F56" s="1080" t="s">
        <v>386</v>
      </c>
      <c r="G56" s="1080"/>
      <c r="H56" s="1080"/>
      <c r="I56" s="1080"/>
      <c r="J56" s="93">
        <f>+E54*0.5</f>
        <v>0.5</v>
      </c>
      <c r="K56" s="93" t="s">
        <v>341</v>
      </c>
      <c r="L56" s="1080"/>
    </row>
    <row r="57" spans="1:12" ht="15" customHeight="1">
      <c r="A57" s="1080"/>
      <c r="B57" s="1069"/>
      <c r="C57" s="1071"/>
      <c r="D57" s="1080"/>
      <c r="E57" s="1093"/>
      <c r="F57" s="1080" t="s">
        <v>401</v>
      </c>
      <c r="G57" s="1080"/>
      <c r="H57" s="1080"/>
      <c r="I57" s="1080"/>
      <c r="J57" s="93">
        <f>+E54*8</f>
        <v>8</v>
      </c>
      <c r="K57" s="93" t="s">
        <v>360</v>
      </c>
      <c r="L57" s="1080"/>
    </row>
    <row r="58" spans="1:12" ht="15" customHeight="1">
      <c r="A58" s="1080">
        <v>3</v>
      </c>
      <c r="B58" s="1066" t="s">
        <v>443</v>
      </c>
      <c r="C58" s="1068"/>
      <c r="D58" s="1080" t="s">
        <v>444</v>
      </c>
      <c r="E58" s="1072">
        <v>1</v>
      </c>
      <c r="F58" s="1080" t="s">
        <v>399</v>
      </c>
      <c r="G58" s="1080"/>
      <c r="H58" s="1080"/>
      <c r="I58" s="1080"/>
      <c r="J58" s="93">
        <f>E58*2</f>
        <v>2</v>
      </c>
      <c r="K58" s="93" t="s">
        <v>357</v>
      </c>
      <c r="L58" s="1080"/>
    </row>
    <row r="59" spans="1:12" ht="15" customHeight="1">
      <c r="A59" s="1080"/>
      <c r="B59" s="1090"/>
      <c r="C59" s="1091"/>
      <c r="D59" s="1080"/>
      <c r="E59" s="1072"/>
      <c r="F59" s="1076" t="s">
        <v>335</v>
      </c>
      <c r="G59" s="1077"/>
      <c r="H59" s="1077"/>
      <c r="I59" s="1078"/>
      <c r="J59" s="93">
        <f>+E58*7</f>
        <v>7</v>
      </c>
      <c r="K59" s="93" t="s">
        <v>336</v>
      </c>
      <c r="L59" s="1080"/>
    </row>
    <row r="60" spans="1:12" ht="15" customHeight="1">
      <c r="A60" s="1080"/>
      <c r="B60" s="1090"/>
      <c r="C60" s="1091"/>
      <c r="D60" s="1080"/>
      <c r="E60" s="1072"/>
      <c r="F60" s="1080" t="s">
        <v>386</v>
      </c>
      <c r="G60" s="1080"/>
      <c r="H60" s="1080"/>
      <c r="I60" s="1080"/>
      <c r="J60" s="93">
        <f>+E58*1.5</f>
        <v>1.5</v>
      </c>
      <c r="K60" s="93" t="s">
        <v>341</v>
      </c>
      <c r="L60" s="1080"/>
    </row>
    <row r="61" spans="1:12" ht="15" customHeight="1">
      <c r="A61" s="1080"/>
      <c r="B61" s="1069"/>
      <c r="C61" s="1071"/>
      <c r="D61" s="1080"/>
      <c r="E61" s="1072"/>
      <c r="F61" s="1080" t="s">
        <v>401</v>
      </c>
      <c r="G61" s="1080"/>
      <c r="H61" s="1080"/>
      <c r="I61" s="1080"/>
      <c r="J61" s="93">
        <f>+E58*8</f>
        <v>8</v>
      </c>
      <c r="K61" s="93" t="s">
        <v>360</v>
      </c>
      <c r="L61" s="1080"/>
    </row>
  </sheetData>
  <mergeCells count="141">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10:I10"/>
    <mergeCell ref="F11:I11"/>
    <mergeCell ref="A7:A8"/>
    <mergeCell ref="B7:B8"/>
    <mergeCell ref="C7:C8"/>
    <mergeCell ref="D7:D8"/>
    <mergeCell ref="E7:E8"/>
    <mergeCell ref="F7:I7"/>
    <mergeCell ref="F8:I8"/>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s>
  <phoneticPr fontId="32" type="noConversion"/>
  <pageMargins left="0.7" right="0.7" top="0.75" bottom="0.75" header="0.3" footer="0.3"/>
  <pageSetup paperSize="9" scale="81" orientation="portrait" r:id="rId1"/>
</worksheet>
</file>

<file path=xl/worksheets/sheet19.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84" t="s">
        <v>365</v>
      </c>
      <c r="B1" s="1084"/>
      <c r="C1" s="1084"/>
      <c r="D1" s="1084"/>
      <c r="E1" s="1084"/>
      <c r="F1" s="1084"/>
      <c r="G1" s="1084"/>
      <c r="H1" s="1084"/>
      <c r="I1" s="1084"/>
      <c r="J1" s="1084"/>
      <c r="K1" s="1084"/>
      <c r="L1" s="1084"/>
    </row>
    <row r="2" spans="1:12" ht="12">
      <c r="A2" s="1084"/>
      <c r="B2" s="1084"/>
      <c r="C2" s="1084"/>
      <c r="D2" s="1084"/>
      <c r="E2" s="1084"/>
      <c r="F2" s="1084"/>
      <c r="G2" s="1084"/>
      <c r="H2" s="1084"/>
      <c r="I2" s="1084"/>
      <c r="J2" s="1084"/>
      <c r="K2" s="1084"/>
      <c r="L2" s="1084"/>
    </row>
    <row r="3" spans="1:12" ht="12">
      <c r="A3" s="1085" t="s">
        <v>366</v>
      </c>
      <c r="B3" s="1085"/>
      <c r="C3" s="1085" t="e">
        <f>#REF!</f>
        <v>#REF!</v>
      </c>
      <c r="D3" s="1085"/>
      <c r="E3" s="1085"/>
      <c r="F3" s="1085"/>
      <c r="G3" s="1085"/>
      <c r="H3" s="1085"/>
      <c r="I3" s="1085" t="s">
        <v>367</v>
      </c>
      <c r="J3" s="1085"/>
      <c r="K3" s="1086" t="e">
        <f>[10]领料单!R2</f>
        <v>#REF!</v>
      </c>
      <c r="L3" s="1086"/>
    </row>
    <row r="4" spans="1:12" ht="12">
      <c r="A4" s="1081" t="s">
        <v>368</v>
      </c>
      <c r="B4" s="1081"/>
      <c r="C4" s="1081" t="e">
        <f>#REF!</f>
        <v>#REF!</v>
      </c>
      <c r="D4" s="1081"/>
      <c r="E4" s="1081" t="s">
        <v>369</v>
      </c>
      <c r="F4" s="1081"/>
      <c r="G4" s="1087">
        <f>[10]领料单!M3</f>
        <v>40889</v>
      </c>
      <c r="H4" s="1087"/>
      <c r="I4" s="1081" t="s">
        <v>370</v>
      </c>
      <c r="J4" s="1081"/>
      <c r="K4" s="1081" t="e">
        <f>#REF!</f>
        <v>#REF!</v>
      </c>
      <c r="L4" s="1081"/>
    </row>
    <row r="5" spans="1:12" ht="12">
      <c r="A5" s="1081" t="e">
        <f>#REF!</f>
        <v>#REF!</v>
      </c>
      <c r="B5" s="1081"/>
      <c r="C5" s="1081" t="e">
        <f>#REF!</f>
        <v>#REF!</v>
      </c>
      <c r="D5" s="1081"/>
      <c r="E5" s="1081" t="s">
        <v>371</v>
      </c>
      <c r="F5" s="1081"/>
      <c r="G5" s="1082" t="e">
        <f>[10]下料单!X2</f>
        <v>#REF!</v>
      </c>
      <c r="H5" s="1082"/>
      <c r="I5" s="1081"/>
      <c r="J5" s="1081"/>
      <c r="K5" s="1081"/>
      <c r="L5" s="1081"/>
    </row>
    <row r="6" spans="1:12" ht="12">
      <c r="A6" s="83" t="s">
        <v>372</v>
      </c>
      <c r="B6" s="83" t="s">
        <v>373</v>
      </c>
      <c r="C6" s="83" t="s">
        <v>374</v>
      </c>
      <c r="D6" s="83" t="s">
        <v>375</v>
      </c>
      <c r="E6" s="83" t="s">
        <v>376</v>
      </c>
      <c r="F6" s="1083" t="s">
        <v>377</v>
      </c>
      <c r="G6" s="1083"/>
      <c r="H6" s="1083"/>
      <c r="I6" s="1083"/>
      <c r="J6" s="83" t="s">
        <v>378</v>
      </c>
      <c r="K6" s="83" t="s">
        <v>379</v>
      </c>
      <c r="L6" s="83" t="s">
        <v>380</v>
      </c>
    </row>
    <row r="7" spans="1:12" ht="12">
      <c r="A7" s="1080">
        <v>1</v>
      </c>
      <c r="B7" s="1064" t="s">
        <v>381</v>
      </c>
      <c r="C7" s="1080">
        <v>720</v>
      </c>
      <c r="D7" s="1080" t="s">
        <v>382</v>
      </c>
      <c r="E7" s="1080">
        <v>1</v>
      </c>
      <c r="F7" s="1076" t="s">
        <v>383</v>
      </c>
      <c r="G7" s="1077"/>
      <c r="H7" s="1077"/>
      <c r="I7" s="1078"/>
      <c r="J7" s="84">
        <f>E7*1</f>
        <v>1</v>
      </c>
      <c r="K7" s="84" t="s">
        <v>384</v>
      </c>
      <c r="L7" s="90"/>
    </row>
    <row r="8" spans="1:12" ht="12">
      <c r="A8" s="1080"/>
      <c r="B8" s="1095"/>
      <c r="C8" s="1080"/>
      <c r="D8" s="1080"/>
      <c r="E8" s="1080"/>
      <c r="F8" s="1076" t="s">
        <v>385</v>
      </c>
      <c r="G8" s="1077"/>
      <c r="H8" s="1077"/>
      <c r="I8" s="1078"/>
      <c r="J8" s="84">
        <f>+E7*3.6</f>
        <v>3.6</v>
      </c>
      <c r="K8" s="84" t="s">
        <v>336</v>
      </c>
      <c r="L8" s="84"/>
    </row>
    <row r="9" spans="1:12" ht="12">
      <c r="A9" s="1080"/>
      <c r="B9" s="1095"/>
      <c r="C9" s="1080"/>
      <c r="D9" s="1080"/>
      <c r="E9" s="1080"/>
      <c r="F9" s="1076" t="s">
        <v>386</v>
      </c>
      <c r="G9" s="1077"/>
      <c r="H9" s="1077"/>
      <c r="I9" s="1078"/>
      <c r="J9" s="84">
        <f>+E7*0.5</f>
        <v>0.5</v>
      </c>
      <c r="K9" s="84" t="s">
        <v>387</v>
      </c>
      <c r="L9" s="84"/>
    </row>
    <row r="10" spans="1:12" ht="12">
      <c r="A10" s="1080"/>
      <c r="B10" s="1065"/>
      <c r="C10" s="1080"/>
      <c r="D10" s="1080"/>
      <c r="E10" s="1080"/>
      <c r="F10" s="1076" t="s">
        <v>388</v>
      </c>
      <c r="G10" s="1077"/>
      <c r="H10" s="1077"/>
      <c r="I10" s="1078"/>
      <c r="J10" s="84">
        <f>+E7*8</f>
        <v>8</v>
      </c>
      <c r="K10" s="84" t="s">
        <v>384</v>
      </c>
      <c r="L10" s="90"/>
    </row>
    <row r="11" spans="1:12" ht="12">
      <c r="A11" s="1080">
        <v>2</v>
      </c>
      <c r="B11" s="1080">
        <v>900</v>
      </c>
      <c r="C11" s="1080">
        <v>720</v>
      </c>
      <c r="D11" s="1080" t="s">
        <v>382</v>
      </c>
      <c r="E11" s="1080">
        <v>1</v>
      </c>
      <c r="F11" s="1076" t="s">
        <v>389</v>
      </c>
      <c r="G11" s="1077"/>
      <c r="H11" s="1077"/>
      <c r="I11" s="1078"/>
      <c r="J11" s="84">
        <f>E11*1</f>
        <v>1</v>
      </c>
      <c r="K11" s="84" t="s">
        <v>384</v>
      </c>
      <c r="L11" s="84"/>
    </row>
    <row r="12" spans="1:12" ht="12">
      <c r="A12" s="1080"/>
      <c r="B12" s="1080"/>
      <c r="C12" s="1080"/>
      <c r="D12" s="1080"/>
      <c r="E12" s="1080"/>
      <c r="F12" s="1076" t="s">
        <v>385</v>
      </c>
      <c r="G12" s="1077"/>
      <c r="H12" s="1077"/>
      <c r="I12" s="1078"/>
      <c r="J12" s="84">
        <f>+E11*4.5</f>
        <v>4.5</v>
      </c>
      <c r="K12" s="84" t="s">
        <v>336</v>
      </c>
      <c r="L12" s="90"/>
    </row>
    <row r="13" spans="1:12" ht="12">
      <c r="A13" s="1080"/>
      <c r="B13" s="1080"/>
      <c r="C13" s="1080"/>
      <c r="D13" s="1080"/>
      <c r="E13" s="1080"/>
      <c r="F13" s="1076" t="s">
        <v>386</v>
      </c>
      <c r="G13" s="1077"/>
      <c r="H13" s="1077"/>
      <c r="I13" s="1078"/>
      <c r="J13" s="84">
        <f>+E11*0.5</f>
        <v>0.5</v>
      </c>
      <c r="K13" s="84" t="s">
        <v>387</v>
      </c>
      <c r="L13" s="84"/>
    </row>
    <row r="14" spans="1:12" ht="12">
      <c r="A14" s="1080"/>
      <c r="B14" s="1080"/>
      <c r="C14" s="1080"/>
      <c r="D14" s="1080"/>
      <c r="E14" s="1080"/>
      <c r="F14" s="1076" t="s">
        <v>390</v>
      </c>
      <c r="G14" s="1077"/>
      <c r="H14" s="1077"/>
      <c r="I14" s="1078"/>
      <c r="J14" s="84">
        <f>+E11*8</f>
        <v>8</v>
      </c>
      <c r="K14" s="84" t="s">
        <v>384</v>
      </c>
      <c r="L14" s="84"/>
    </row>
    <row r="15" spans="1:12" ht="12">
      <c r="A15" s="1080">
        <v>3</v>
      </c>
      <c r="B15" s="1080">
        <v>1200</v>
      </c>
      <c r="C15" s="1080">
        <v>720</v>
      </c>
      <c r="D15" s="1080" t="s">
        <v>382</v>
      </c>
      <c r="E15" s="1080">
        <v>1</v>
      </c>
      <c r="F15" s="1076" t="s">
        <v>391</v>
      </c>
      <c r="G15" s="1077"/>
      <c r="H15" s="1077"/>
      <c r="I15" s="1078"/>
      <c r="J15" s="84">
        <f>E15*1</f>
        <v>1</v>
      </c>
      <c r="K15" s="84" t="s">
        <v>384</v>
      </c>
      <c r="L15" s="84"/>
    </row>
    <row r="16" spans="1:12" ht="12">
      <c r="A16" s="1080"/>
      <c r="B16" s="1080"/>
      <c r="C16" s="1080"/>
      <c r="D16" s="1080"/>
      <c r="E16" s="1080"/>
      <c r="F16" s="1076" t="s">
        <v>385</v>
      </c>
      <c r="G16" s="1077"/>
      <c r="H16" s="1077"/>
      <c r="I16" s="1078"/>
      <c r="J16" s="84">
        <f>+E15*4.8</f>
        <v>4.8</v>
      </c>
      <c r="K16" s="84" t="s">
        <v>336</v>
      </c>
      <c r="L16" s="84"/>
    </row>
    <row r="17" spans="1:12" ht="12">
      <c r="A17" s="1080"/>
      <c r="B17" s="1080"/>
      <c r="C17" s="1080"/>
      <c r="D17" s="1080"/>
      <c r="E17" s="1080"/>
      <c r="F17" s="1076" t="s">
        <v>386</v>
      </c>
      <c r="G17" s="1077"/>
      <c r="H17" s="1077"/>
      <c r="I17" s="1078"/>
      <c r="J17" s="84">
        <f>+E15*0.5</f>
        <v>0.5</v>
      </c>
      <c r="K17" s="84" t="s">
        <v>387</v>
      </c>
      <c r="L17" s="90"/>
    </row>
    <row r="18" spans="1:12" ht="12">
      <c r="A18" s="1080"/>
      <c r="B18" s="1080"/>
      <c r="C18" s="1080"/>
      <c r="D18" s="1080"/>
      <c r="E18" s="1080"/>
      <c r="F18" s="1076" t="s">
        <v>388</v>
      </c>
      <c r="G18" s="1077"/>
      <c r="H18" s="1077"/>
      <c r="I18" s="1078"/>
      <c r="J18" s="84">
        <f>+E15*8</f>
        <v>8</v>
      </c>
      <c r="K18" s="84" t="s">
        <v>384</v>
      </c>
      <c r="L18" s="84"/>
    </row>
    <row r="19" spans="1:12" ht="12">
      <c r="A19" s="1080">
        <v>4</v>
      </c>
      <c r="B19" s="1064" t="s">
        <v>381</v>
      </c>
      <c r="C19" s="1080">
        <v>720</v>
      </c>
      <c r="D19" s="1080" t="s">
        <v>392</v>
      </c>
      <c r="E19" s="1080">
        <v>1</v>
      </c>
      <c r="F19" s="1076" t="s">
        <v>393</v>
      </c>
      <c r="G19" s="1077"/>
      <c r="H19" s="1077"/>
      <c r="I19" s="1078"/>
      <c r="J19" s="84">
        <f>E19*1</f>
        <v>1</v>
      </c>
      <c r="K19" s="84" t="s">
        <v>394</v>
      </c>
      <c r="L19" s="91"/>
    </row>
    <row r="20" spans="1:12" ht="12">
      <c r="A20" s="1080"/>
      <c r="B20" s="1095"/>
      <c r="C20" s="1080"/>
      <c r="D20" s="1080"/>
      <c r="E20" s="1080"/>
      <c r="F20" s="1076" t="s">
        <v>385</v>
      </c>
      <c r="G20" s="1077"/>
      <c r="H20" s="1077"/>
      <c r="I20" s="1078"/>
      <c r="J20" s="84">
        <f>+E19*3.5</f>
        <v>3.5</v>
      </c>
      <c r="K20" s="84" t="s">
        <v>336</v>
      </c>
      <c r="L20" s="91"/>
    </row>
    <row r="21" spans="1:12" ht="12">
      <c r="A21" s="1080"/>
      <c r="B21" s="1095"/>
      <c r="C21" s="1080"/>
      <c r="D21" s="1080"/>
      <c r="E21" s="1080"/>
      <c r="F21" s="1076" t="s">
        <v>386</v>
      </c>
      <c r="G21" s="1077"/>
      <c r="H21" s="1077"/>
      <c r="I21" s="1078"/>
      <c r="J21" s="84">
        <f>+E19*0.5</f>
        <v>0.5</v>
      </c>
      <c r="K21" s="84" t="s">
        <v>387</v>
      </c>
      <c r="L21" s="91"/>
    </row>
    <row r="22" spans="1:12" ht="12">
      <c r="A22" s="1080"/>
      <c r="B22" s="1065"/>
      <c r="C22" s="1080"/>
      <c r="D22" s="1080"/>
      <c r="E22" s="1080"/>
      <c r="F22" s="1076" t="s">
        <v>388</v>
      </c>
      <c r="G22" s="1077"/>
      <c r="H22" s="1077"/>
      <c r="I22" s="1078"/>
      <c r="J22" s="84">
        <f>+E19*8</f>
        <v>8</v>
      </c>
      <c r="K22" s="84" t="s">
        <v>384</v>
      </c>
      <c r="L22" s="91"/>
    </row>
    <row r="23" spans="1:12" ht="12">
      <c r="A23" s="1080">
        <v>5</v>
      </c>
      <c r="B23" s="1080">
        <v>900</v>
      </c>
      <c r="C23" s="1080">
        <v>720</v>
      </c>
      <c r="D23" s="1080" t="s">
        <v>392</v>
      </c>
      <c r="E23" s="1080">
        <v>1</v>
      </c>
      <c r="F23" s="1076" t="s">
        <v>395</v>
      </c>
      <c r="G23" s="1077"/>
      <c r="H23" s="1077"/>
      <c r="I23" s="1078"/>
      <c r="J23" s="84">
        <f>E23*1</f>
        <v>1</v>
      </c>
      <c r="K23" s="84" t="s">
        <v>384</v>
      </c>
      <c r="L23" s="91"/>
    </row>
    <row r="24" spans="1:12" ht="12">
      <c r="A24" s="1080"/>
      <c r="B24" s="1080"/>
      <c r="C24" s="1080"/>
      <c r="D24" s="1080"/>
      <c r="E24" s="1080"/>
      <c r="F24" s="1076" t="s">
        <v>385</v>
      </c>
      <c r="G24" s="1077"/>
      <c r="H24" s="1077"/>
      <c r="I24" s="1078"/>
      <c r="J24" s="84">
        <f>+E23*3.5</f>
        <v>3.5</v>
      </c>
      <c r="K24" s="84" t="s">
        <v>336</v>
      </c>
      <c r="L24" s="91"/>
    </row>
    <row r="25" spans="1:12" ht="12">
      <c r="A25" s="1080"/>
      <c r="B25" s="1080"/>
      <c r="C25" s="1080"/>
      <c r="D25" s="1080"/>
      <c r="E25" s="1080"/>
      <c r="F25" s="1076" t="s">
        <v>386</v>
      </c>
      <c r="G25" s="1077"/>
      <c r="H25" s="1077"/>
      <c r="I25" s="1078"/>
      <c r="J25" s="84">
        <f>+E23*0.5</f>
        <v>0.5</v>
      </c>
      <c r="K25" s="84" t="s">
        <v>387</v>
      </c>
      <c r="L25" s="91"/>
    </row>
    <row r="26" spans="1:12" ht="12">
      <c r="A26" s="1080"/>
      <c r="B26" s="1080"/>
      <c r="C26" s="1080"/>
      <c r="D26" s="1080"/>
      <c r="E26" s="1080"/>
      <c r="F26" s="1076" t="s">
        <v>388</v>
      </c>
      <c r="G26" s="1077"/>
      <c r="H26" s="1077"/>
      <c r="I26" s="1078"/>
      <c r="J26" s="84">
        <f>+E23*8</f>
        <v>8</v>
      </c>
      <c r="K26" s="84" t="s">
        <v>384</v>
      </c>
      <c r="L26" s="91"/>
    </row>
    <row r="27" spans="1:12" ht="12">
      <c r="A27" s="1080">
        <v>6</v>
      </c>
      <c r="B27" s="1080">
        <v>1200</v>
      </c>
      <c r="C27" s="1080">
        <v>720</v>
      </c>
      <c r="D27" s="1080" t="s">
        <v>392</v>
      </c>
      <c r="E27" s="1080">
        <v>1</v>
      </c>
      <c r="F27" s="1076" t="s">
        <v>396</v>
      </c>
      <c r="G27" s="1077"/>
      <c r="H27" s="1077"/>
      <c r="I27" s="1078"/>
      <c r="J27" s="84">
        <f>E27*1</f>
        <v>1</v>
      </c>
      <c r="K27" s="84" t="s">
        <v>384</v>
      </c>
      <c r="L27" s="91"/>
    </row>
    <row r="28" spans="1:12" ht="12">
      <c r="A28" s="1080"/>
      <c r="B28" s="1080"/>
      <c r="C28" s="1080"/>
      <c r="D28" s="1080"/>
      <c r="E28" s="1080"/>
      <c r="F28" s="1076" t="s">
        <v>385</v>
      </c>
      <c r="G28" s="1077"/>
      <c r="H28" s="1077"/>
      <c r="I28" s="1078"/>
      <c r="J28" s="84">
        <f>+E27*5</f>
        <v>5</v>
      </c>
      <c r="K28" s="84" t="s">
        <v>336</v>
      </c>
      <c r="L28" s="91"/>
    </row>
    <row r="29" spans="1:12" ht="12">
      <c r="A29" s="1080"/>
      <c r="B29" s="1080"/>
      <c r="C29" s="1080"/>
      <c r="D29" s="1080"/>
      <c r="E29" s="1080"/>
      <c r="F29" s="1076" t="s">
        <v>386</v>
      </c>
      <c r="G29" s="1077"/>
      <c r="H29" s="1077"/>
      <c r="I29" s="1078"/>
      <c r="J29" s="84">
        <f>+E27*0.5</f>
        <v>0.5</v>
      </c>
      <c r="K29" s="84" t="s">
        <v>387</v>
      </c>
      <c r="L29" s="91"/>
    </row>
    <row r="30" spans="1:12" ht="12">
      <c r="A30" s="1080"/>
      <c r="B30" s="1080"/>
      <c r="C30" s="1080"/>
      <c r="D30" s="1080"/>
      <c r="E30" s="1080"/>
      <c r="F30" s="1076" t="s">
        <v>388</v>
      </c>
      <c r="G30" s="1077"/>
      <c r="H30" s="1077"/>
      <c r="I30" s="1078"/>
      <c r="J30" s="84">
        <f>+E27*8</f>
        <v>8</v>
      </c>
      <c r="K30" s="84" t="s">
        <v>384</v>
      </c>
      <c r="L30" s="91"/>
    </row>
    <row r="31" spans="1:12" ht="12">
      <c r="A31" s="1080">
        <v>7</v>
      </c>
      <c r="B31" s="1064" t="s">
        <v>397</v>
      </c>
      <c r="C31" s="1080">
        <v>1440</v>
      </c>
      <c r="D31" s="1080" t="s">
        <v>398</v>
      </c>
      <c r="E31" s="1080">
        <v>1</v>
      </c>
      <c r="F31" s="1076" t="s">
        <v>399</v>
      </c>
      <c r="G31" s="1077"/>
      <c r="H31" s="1077"/>
      <c r="I31" s="1078"/>
      <c r="J31" s="84">
        <f>E31*2</f>
        <v>2</v>
      </c>
      <c r="K31" s="84" t="s">
        <v>357</v>
      </c>
      <c r="L31" s="1099" t="s">
        <v>400</v>
      </c>
    </row>
    <row r="32" spans="1:12" ht="12">
      <c r="A32" s="1080"/>
      <c r="B32" s="1095"/>
      <c r="C32" s="1080"/>
      <c r="D32" s="1080"/>
      <c r="E32" s="1080"/>
      <c r="F32" s="1076" t="s">
        <v>385</v>
      </c>
      <c r="G32" s="1077"/>
      <c r="H32" s="1077"/>
      <c r="I32" s="1078"/>
      <c r="J32" s="84">
        <f>+E31*7</f>
        <v>7</v>
      </c>
      <c r="K32" s="84" t="s">
        <v>336</v>
      </c>
      <c r="L32" s="1100"/>
    </row>
    <row r="33" spans="1:12" ht="12">
      <c r="A33" s="1080"/>
      <c r="B33" s="1095"/>
      <c r="C33" s="1080"/>
      <c r="D33" s="1080"/>
      <c r="E33" s="1080"/>
      <c r="F33" s="1076" t="s">
        <v>386</v>
      </c>
      <c r="G33" s="1077"/>
      <c r="H33" s="1077"/>
      <c r="I33" s="1078"/>
      <c r="J33" s="84">
        <f>E31*1.5</f>
        <v>1.5</v>
      </c>
      <c r="K33" s="84" t="s">
        <v>387</v>
      </c>
      <c r="L33" s="1100"/>
    </row>
    <row r="34" spans="1:12" ht="12">
      <c r="A34" s="1080"/>
      <c r="B34" s="1065"/>
      <c r="C34" s="1080"/>
      <c r="D34" s="1080"/>
      <c r="E34" s="1080"/>
      <c r="F34" s="1076" t="s">
        <v>401</v>
      </c>
      <c r="G34" s="1077"/>
      <c r="H34" s="1077"/>
      <c r="I34" s="1078"/>
      <c r="J34" s="84">
        <f>+E31*8</f>
        <v>8</v>
      </c>
      <c r="K34" s="84" t="s">
        <v>384</v>
      </c>
      <c r="L34" s="1101"/>
    </row>
    <row r="35" spans="1:12" ht="12">
      <c r="A35" s="1080">
        <v>8</v>
      </c>
      <c r="B35" s="1064">
        <v>600</v>
      </c>
      <c r="C35" s="1080">
        <v>2160</v>
      </c>
      <c r="D35" s="1080" t="s">
        <v>402</v>
      </c>
      <c r="E35" s="1080">
        <v>1</v>
      </c>
      <c r="F35" s="1076" t="s">
        <v>403</v>
      </c>
      <c r="G35" s="1077"/>
      <c r="H35" s="1077"/>
      <c r="I35" s="1078"/>
      <c r="J35" s="84">
        <f>E35*1</f>
        <v>1</v>
      </c>
      <c r="K35" s="84" t="s">
        <v>387</v>
      </c>
      <c r="L35" s="91"/>
    </row>
    <row r="36" spans="1:12" ht="12">
      <c r="A36" s="1080"/>
      <c r="B36" s="1095"/>
      <c r="C36" s="1080"/>
      <c r="D36" s="1080"/>
      <c r="E36" s="1080"/>
      <c r="F36" s="1076" t="s">
        <v>385</v>
      </c>
      <c r="G36" s="1077"/>
      <c r="H36" s="1077"/>
      <c r="I36" s="1078"/>
      <c r="J36" s="84">
        <f>+E35*11</f>
        <v>11</v>
      </c>
      <c r="K36" s="84" t="s">
        <v>336</v>
      </c>
      <c r="L36" s="91"/>
    </row>
    <row r="37" spans="1:12" ht="12">
      <c r="A37" s="1080"/>
      <c r="B37" s="1095"/>
      <c r="C37" s="1080"/>
      <c r="D37" s="1080"/>
      <c r="E37" s="1080"/>
      <c r="F37" s="1076" t="s">
        <v>386</v>
      </c>
      <c r="G37" s="1077"/>
      <c r="H37" s="1077"/>
      <c r="I37" s="1078"/>
      <c r="J37" s="84">
        <f>+E35*1</f>
        <v>1</v>
      </c>
      <c r="K37" s="84" t="s">
        <v>387</v>
      </c>
      <c r="L37" s="91"/>
    </row>
    <row r="38" spans="1:12" ht="12">
      <c r="A38" s="1080"/>
      <c r="B38" s="1065"/>
      <c r="C38" s="1080"/>
      <c r="D38" s="1080"/>
      <c r="E38" s="1080"/>
      <c r="F38" s="1080" t="s">
        <v>388</v>
      </c>
      <c r="G38" s="1080"/>
      <c r="H38" s="1080"/>
      <c r="I38" s="1080"/>
      <c r="J38" s="84">
        <f>+E35*8</f>
        <v>8</v>
      </c>
      <c r="K38" s="84" t="s">
        <v>384</v>
      </c>
      <c r="L38" s="91"/>
    </row>
    <row r="39" spans="1:12" ht="14.25">
      <c r="A39" s="1088" t="s">
        <v>404</v>
      </c>
      <c r="B39" s="1088"/>
      <c r="C39" s="1088"/>
      <c r="D39" s="1088"/>
      <c r="E39" s="1088"/>
      <c r="F39" s="1088"/>
      <c r="G39" s="1088"/>
      <c r="H39" s="1088"/>
      <c r="I39" s="1088"/>
      <c r="J39" s="1088"/>
      <c r="K39" s="1088"/>
      <c r="L39" s="1088"/>
    </row>
    <row r="40" spans="1:12" ht="12">
      <c r="A40" s="1064">
        <v>9</v>
      </c>
      <c r="B40" s="1064">
        <v>150</v>
      </c>
      <c r="C40" s="1064">
        <v>720</v>
      </c>
      <c r="D40" s="1064" t="s">
        <v>405</v>
      </c>
      <c r="E40" s="1080">
        <v>1</v>
      </c>
      <c r="F40" s="1080" t="s">
        <v>406</v>
      </c>
      <c r="G40" s="1080"/>
      <c r="H40" s="1080"/>
      <c r="I40" s="1080"/>
      <c r="J40" s="84">
        <f>+E40*1</f>
        <v>1</v>
      </c>
      <c r="K40" s="84" t="s">
        <v>384</v>
      </c>
      <c r="L40" s="91"/>
    </row>
    <row r="41" spans="1:12" ht="12">
      <c r="A41" s="1095"/>
      <c r="B41" s="1095"/>
      <c r="C41" s="1095"/>
      <c r="D41" s="1095"/>
      <c r="E41" s="1080"/>
      <c r="F41" s="1076" t="s">
        <v>385</v>
      </c>
      <c r="G41" s="1077"/>
      <c r="H41" s="1077"/>
      <c r="I41" s="1078"/>
      <c r="J41" s="84">
        <f>+E40*2</f>
        <v>2</v>
      </c>
      <c r="K41" s="84" t="s">
        <v>336</v>
      </c>
      <c r="L41" s="91"/>
    </row>
    <row r="42" spans="1:12" ht="12">
      <c r="A42" s="1095"/>
      <c r="B42" s="1095"/>
      <c r="C42" s="1095"/>
      <c r="D42" s="1095"/>
      <c r="E42" s="1080"/>
      <c r="F42" s="1080" t="s">
        <v>407</v>
      </c>
      <c r="G42" s="1080"/>
      <c r="H42" s="1080"/>
      <c r="I42" s="1080"/>
      <c r="J42" s="84">
        <f>+E40*8</f>
        <v>8</v>
      </c>
      <c r="K42" s="84" t="s">
        <v>384</v>
      </c>
      <c r="L42" s="91"/>
    </row>
    <row r="43" spans="1:12" ht="12">
      <c r="A43" s="1064">
        <v>10</v>
      </c>
      <c r="B43" s="1064">
        <v>600</v>
      </c>
      <c r="C43" s="1064">
        <v>720</v>
      </c>
      <c r="D43" s="1064" t="s">
        <v>408</v>
      </c>
      <c r="E43" s="1080">
        <v>1</v>
      </c>
      <c r="F43" s="1080" t="s">
        <v>409</v>
      </c>
      <c r="G43" s="1080"/>
      <c r="H43" s="1080"/>
      <c r="I43" s="1080"/>
      <c r="J43" s="84">
        <f>+E43*1</f>
        <v>1</v>
      </c>
      <c r="K43" s="84" t="s">
        <v>384</v>
      </c>
      <c r="L43" s="84"/>
    </row>
    <row r="44" spans="1:12" ht="12">
      <c r="A44" s="1095"/>
      <c r="B44" s="1095"/>
      <c r="C44" s="1095"/>
      <c r="D44" s="1095"/>
      <c r="E44" s="1080"/>
      <c r="F44" s="1076" t="s">
        <v>385</v>
      </c>
      <c r="G44" s="1077"/>
      <c r="H44" s="1077"/>
      <c r="I44" s="1078"/>
      <c r="J44" s="84">
        <f>+E43*3</f>
        <v>3</v>
      </c>
      <c r="K44" s="84" t="s">
        <v>336</v>
      </c>
      <c r="L44" s="84"/>
    </row>
    <row r="45" spans="1:12" ht="12">
      <c r="A45" s="1095"/>
      <c r="B45" s="1095"/>
      <c r="C45" s="1095"/>
      <c r="D45" s="1095"/>
      <c r="E45" s="1080"/>
      <c r="F45" s="1079" t="s">
        <v>410</v>
      </c>
      <c r="G45" s="1079"/>
      <c r="H45" s="1079"/>
      <c r="I45" s="1079"/>
      <c r="J45" s="85">
        <f>+E43*0.3</f>
        <v>0.3</v>
      </c>
      <c r="K45" s="85" t="s">
        <v>357</v>
      </c>
      <c r="L45" s="85" t="s">
        <v>411</v>
      </c>
    </row>
    <row r="46" spans="1:12" ht="12">
      <c r="A46" s="1065"/>
      <c r="B46" s="1065"/>
      <c r="C46" s="1065"/>
      <c r="D46" s="1065"/>
      <c r="E46" s="1080"/>
      <c r="F46" s="1080" t="s">
        <v>407</v>
      </c>
      <c r="G46" s="1080"/>
      <c r="H46" s="1080"/>
      <c r="I46" s="1080"/>
      <c r="J46" s="84">
        <f>+E43*8</f>
        <v>8</v>
      </c>
      <c r="K46" s="84" t="s">
        <v>384</v>
      </c>
      <c r="L46" s="84"/>
    </row>
    <row r="47" spans="1:12" ht="12">
      <c r="A47" s="1064">
        <v>11</v>
      </c>
      <c r="B47" s="1064">
        <v>900</v>
      </c>
      <c r="C47" s="1064">
        <v>720</v>
      </c>
      <c r="D47" s="1064" t="s">
        <v>408</v>
      </c>
      <c r="E47" s="1080">
        <v>1</v>
      </c>
      <c r="F47" s="1080" t="s">
        <v>412</v>
      </c>
      <c r="G47" s="1080"/>
      <c r="H47" s="1080"/>
      <c r="I47" s="1080"/>
      <c r="J47" s="84">
        <f>+E47*1</f>
        <v>1</v>
      </c>
      <c r="K47" s="84" t="s">
        <v>384</v>
      </c>
      <c r="L47" s="84"/>
    </row>
    <row r="48" spans="1:12" ht="12">
      <c r="A48" s="1095"/>
      <c r="B48" s="1095"/>
      <c r="C48" s="1095"/>
      <c r="D48" s="1095"/>
      <c r="E48" s="1080"/>
      <c r="F48" s="1076" t="s">
        <v>385</v>
      </c>
      <c r="G48" s="1077"/>
      <c r="H48" s="1077"/>
      <c r="I48" s="1078"/>
      <c r="J48" s="84">
        <f>+E47*3</f>
        <v>3</v>
      </c>
      <c r="K48" s="84" t="s">
        <v>336</v>
      </c>
      <c r="L48" s="84"/>
    </row>
    <row r="49" spans="1:12" ht="12">
      <c r="A49" s="1095"/>
      <c r="B49" s="1095"/>
      <c r="C49" s="1095"/>
      <c r="D49" s="1095"/>
      <c r="E49" s="1080"/>
      <c r="F49" s="1079" t="s">
        <v>410</v>
      </c>
      <c r="G49" s="1079"/>
      <c r="H49" s="1079"/>
      <c r="I49" s="1079"/>
      <c r="J49" s="85">
        <f>+E47*0.5</f>
        <v>0.5</v>
      </c>
      <c r="K49" s="85" t="s">
        <v>357</v>
      </c>
      <c r="L49" s="85" t="s">
        <v>411</v>
      </c>
    </row>
    <row r="50" spans="1:12" ht="12">
      <c r="A50" s="1065"/>
      <c r="B50" s="1065"/>
      <c r="C50" s="1065"/>
      <c r="D50" s="1065"/>
      <c r="E50" s="1080"/>
      <c r="F50" s="1080" t="s">
        <v>407</v>
      </c>
      <c r="G50" s="1080"/>
      <c r="H50" s="1080"/>
      <c r="I50" s="1080"/>
      <c r="J50" s="84">
        <f>+E47*8</f>
        <v>8</v>
      </c>
      <c r="K50" s="84" t="s">
        <v>384</v>
      </c>
      <c r="L50" s="84"/>
    </row>
    <row r="51" spans="1:12" ht="14.25">
      <c r="A51" s="1088" t="s">
        <v>413</v>
      </c>
      <c r="B51" s="1088"/>
      <c r="C51" s="1088"/>
      <c r="D51" s="1088"/>
      <c r="E51" s="1088"/>
      <c r="F51" s="1088"/>
      <c r="G51" s="1088"/>
      <c r="H51" s="1088"/>
      <c r="I51" s="1088"/>
      <c r="J51" s="1088"/>
      <c r="K51" s="1088"/>
      <c r="L51" s="1088"/>
    </row>
    <row r="52" spans="1:12" ht="12">
      <c r="A52" s="1094">
        <v>1</v>
      </c>
      <c r="B52" s="1096" t="s">
        <v>414</v>
      </c>
      <c r="C52" s="1094">
        <v>715</v>
      </c>
      <c r="D52" s="1094">
        <v>20</v>
      </c>
      <c r="E52" s="1094">
        <v>4</v>
      </c>
      <c r="F52" s="1080" t="s">
        <v>415</v>
      </c>
      <c r="G52" s="1080"/>
      <c r="H52" s="1080"/>
      <c r="I52" s="1080"/>
      <c r="J52" s="84">
        <f>E52*0.25</f>
        <v>1</v>
      </c>
      <c r="K52" s="84" t="s">
        <v>384</v>
      </c>
      <c r="L52" s="1064" t="s">
        <v>416</v>
      </c>
    </row>
    <row r="53" spans="1:12" ht="12">
      <c r="A53" s="1094"/>
      <c r="B53" s="1097"/>
      <c r="C53" s="1094"/>
      <c r="D53" s="1094"/>
      <c r="E53" s="1094"/>
      <c r="F53" s="1076" t="s">
        <v>385</v>
      </c>
      <c r="G53" s="1077"/>
      <c r="H53" s="1077"/>
      <c r="I53" s="1078"/>
      <c r="J53" s="84">
        <f>+E52*1</f>
        <v>4</v>
      </c>
      <c r="K53" s="84" t="s">
        <v>336</v>
      </c>
      <c r="L53" s="1095"/>
    </row>
    <row r="54" spans="1:12" ht="12">
      <c r="A54" s="1094"/>
      <c r="B54" s="1097"/>
      <c r="C54" s="1094"/>
      <c r="D54" s="1094"/>
      <c r="E54" s="1094"/>
      <c r="F54" s="1080" t="s">
        <v>386</v>
      </c>
      <c r="G54" s="1080"/>
      <c r="H54" s="1080"/>
      <c r="I54" s="1080"/>
      <c r="J54" s="84">
        <f>+E52*0.125</f>
        <v>0.5</v>
      </c>
      <c r="K54" s="84" t="s">
        <v>357</v>
      </c>
      <c r="L54" s="1095"/>
    </row>
    <row r="55" spans="1:12" ht="12">
      <c r="A55" s="1094"/>
      <c r="B55" s="1098"/>
      <c r="C55" s="1094"/>
      <c r="D55" s="1094"/>
      <c r="E55" s="1094"/>
      <c r="F55" s="1080" t="s">
        <v>388</v>
      </c>
      <c r="G55" s="1080"/>
      <c r="H55" s="1080"/>
      <c r="I55" s="1080"/>
      <c r="J55" s="84">
        <f>+E52*2</f>
        <v>8</v>
      </c>
      <c r="K55" s="84" t="s">
        <v>384</v>
      </c>
      <c r="L55" s="1065"/>
    </row>
    <row r="56" spans="1:12" ht="12">
      <c r="A56" s="1094">
        <v>2</v>
      </c>
      <c r="B56" s="1094">
        <v>597</v>
      </c>
      <c r="C56" s="1094">
        <v>715</v>
      </c>
      <c r="D56" s="1094">
        <v>20</v>
      </c>
      <c r="E56" s="1094">
        <v>4</v>
      </c>
      <c r="F56" s="1080" t="s">
        <v>417</v>
      </c>
      <c r="G56" s="1080"/>
      <c r="H56" s="1080"/>
      <c r="I56" s="1080"/>
      <c r="J56" s="84">
        <f>E56*0.25</f>
        <v>1</v>
      </c>
      <c r="K56" s="84" t="s">
        <v>384</v>
      </c>
      <c r="L56" s="1064" t="s">
        <v>416</v>
      </c>
    </row>
    <row r="57" spans="1:12" ht="12">
      <c r="A57" s="1094"/>
      <c r="B57" s="1094"/>
      <c r="C57" s="1094"/>
      <c r="D57" s="1094"/>
      <c r="E57" s="1094"/>
      <c r="F57" s="1076" t="s">
        <v>385</v>
      </c>
      <c r="G57" s="1077"/>
      <c r="H57" s="1077"/>
      <c r="I57" s="1078"/>
      <c r="J57" s="84">
        <f>+E56*1</f>
        <v>4</v>
      </c>
      <c r="K57" s="84" t="s">
        <v>336</v>
      </c>
      <c r="L57" s="1095"/>
    </row>
    <row r="58" spans="1:12" ht="12">
      <c r="A58" s="1094"/>
      <c r="B58" s="1094"/>
      <c r="C58" s="1094"/>
      <c r="D58" s="1094"/>
      <c r="E58" s="1094"/>
      <c r="F58" s="1080" t="s">
        <v>386</v>
      </c>
      <c r="G58" s="1080"/>
      <c r="H58" s="1080"/>
      <c r="I58" s="1080"/>
      <c r="J58" s="84">
        <f>+E56*0.125</f>
        <v>0.5</v>
      </c>
      <c r="K58" s="84" t="s">
        <v>357</v>
      </c>
      <c r="L58" s="1095"/>
    </row>
    <row r="59" spans="1:12" ht="12">
      <c r="A59" s="1094"/>
      <c r="B59" s="1094"/>
      <c r="C59" s="1094"/>
      <c r="D59" s="1094"/>
      <c r="E59" s="1094"/>
      <c r="F59" s="1080" t="s">
        <v>388</v>
      </c>
      <c r="G59" s="1080"/>
      <c r="H59" s="1080"/>
      <c r="I59" s="1080"/>
      <c r="J59" s="84">
        <f>+E56*2</f>
        <v>8</v>
      </c>
      <c r="K59" s="84" t="s">
        <v>384</v>
      </c>
      <c r="L59" s="1065"/>
    </row>
    <row r="60" spans="1:12" ht="12">
      <c r="A60" s="1094">
        <v>3</v>
      </c>
      <c r="B60" s="1094">
        <v>597</v>
      </c>
      <c r="C60" s="1094">
        <v>356</v>
      </c>
      <c r="D60" s="1094">
        <v>20</v>
      </c>
      <c r="E60" s="1094">
        <v>4</v>
      </c>
      <c r="F60" s="1080" t="s">
        <v>418</v>
      </c>
      <c r="G60" s="1080"/>
      <c r="H60" s="1080"/>
      <c r="I60" s="1080"/>
      <c r="J60" s="84">
        <f>E60*0.25</f>
        <v>1</v>
      </c>
      <c r="K60" s="84" t="s">
        <v>419</v>
      </c>
      <c r="L60" s="1064" t="s">
        <v>420</v>
      </c>
    </row>
    <row r="61" spans="1:12" ht="12">
      <c r="A61" s="1094"/>
      <c r="B61" s="1094"/>
      <c r="C61" s="1094"/>
      <c r="D61" s="1094"/>
      <c r="E61" s="1094"/>
      <c r="F61" s="1076" t="s">
        <v>421</v>
      </c>
      <c r="G61" s="1077"/>
      <c r="H61" s="1077"/>
      <c r="I61" s="1078"/>
      <c r="J61" s="84">
        <f>+E60*1</f>
        <v>4</v>
      </c>
      <c r="K61" s="84" t="s">
        <v>336</v>
      </c>
      <c r="L61" s="1095"/>
    </row>
    <row r="62" spans="1:12" ht="12">
      <c r="A62" s="1094"/>
      <c r="B62" s="1094"/>
      <c r="C62" s="1094"/>
      <c r="D62" s="1094"/>
      <c r="E62" s="1094"/>
      <c r="F62" s="1080" t="s">
        <v>422</v>
      </c>
      <c r="G62" s="1080"/>
      <c r="H62" s="1080"/>
      <c r="I62" s="1080"/>
      <c r="J62" s="84">
        <f>+E60*0.125</f>
        <v>0.5</v>
      </c>
      <c r="K62" s="84" t="s">
        <v>357</v>
      </c>
      <c r="L62" s="1095"/>
    </row>
    <row r="63" spans="1:12" ht="12">
      <c r="A63" s="1094"/>
      <c r="B63" s="1094"/>
      <c r="C63" s="1094"/>
      <c r="D63" s="1094"/>
      <c r="E63" s="1094"/>
      <c r="F63" s="1080" t="s">
        <v>423</v>
      </c>
      <c r="G63" s="1080"/>
      <c r="H63" s="1080"/>
      <c r="I63" s="1080"/>
      <c r="J63" s="84">
        <f>+E60*2</f>
        <v>8</v>
      </c>
      <c r="K63" s="84" t="s">
        <v>419</v>
      </c>
      <c r="L63" s="1065"/>
    </row>
    <row r="64" spans="1:12" ht="12">
      <c r="A64" s="1094">
        <v>4</v>
      </c>
      <c r="B64" s="1094">
        <v>897</v>
      </c>
      <c r="C64" s="1094">
        <v>356</v>
      </c>
      <c r="D64" s="1094">
        <v>20</v>
      </c>
      <c r="E64" s="1094">
        <v>4</v>
      </c>
      <c r="F64" s="1080" t="s">
        <v>424</v>
      </c>
      <c r="G64" s="1080"/>
      <c r="H64" s="1080"/>
      <c r="I64" s="1080"/>
      <c r="J64" s="84">
        <f>E64*0.25</f>
        <v>1</v>
      </c>
      <c r="K64" s="84" t="s">
        <v>419</v>
      </c>
      <c r="L64" s="1064" t="s">
        <v>420</v>
      </c>
    </row>
    <row r="65" spans="1:13" ht="12">
      <c r="A65" s="1094"/>
      <c r="B65" s="1094"/>
      <c r="C65" s="1094"/>
      <c r="D65" s="1094"/>
      <c r="E65" s="1094"/>
      <c r="F65" s="1076" t="s">
        <v>421</v>
      </c>
      <c r="G65" s="1077"/>
      <c r="H65" s="1077"/>
      <c r="I65" s="1078"/>
      <c r="J65" s="84">
        <f>+E64*1</f>
        <v>4</v>
      </c>
      <c r="K65" s="84" t="s">
        <v>336</v>
      </c>
      <c r="L65" s="1095"/>
    </row>
    <row r="66" spans="1:13" ht="12">
      <c r="A66" s="1094"/>
      <c r="B66" s="1094"/>
      <c r="C66" s="1094"/>
      <c r="D66" s="1094"/>
      <c r="E66" s="1094"/>
      <c r="F66" s="1080" t="s">
        <v>422</v>
      </c>
      <c r="G66" s="1080"/>
      <c r="H66" s="1080"/>
      <c r="I66" s="1080"/>
      <c r="J66" s="84">
        <f>+E64*0.125</f>
        <v>0.5</v>
      </c>
      <c r="K66" s="84" t="s">
        <v>357</v>
      </c>
      <c r="L66" s="1095"/>
    </row>
    <row r="67" spans="1:13" ht="12">
      <c r="A67" s="1094"/>
      <c r="B67" s="1094"/>
      <c r="C67" s="1094"/>
      <c r="D67" s="1094"/>
      <c r="E67" s="1094"/>
      <c r="F67" s="1080" t="s">
        <v>423</v>
      </c>
      <c r="G67" s="1080"/>
      <c r="H67" s="1080"/>
      <c r="I67" s="1080"/>
      <c r="J67" s="84">
        <f>+E64*2</f>
        <v>8</v>
      </c>
      <c r="K67" s="84" t="s">
        <v>419</v>
      </c>
      <c r="L67" s="1065"/>
    </row>
    <row r="68" spans="1:13" ht="14.25">
      <c r="A68" s="1088" t="s">
        <v>425</v>
      </c>
      <c r="B68" s="1088"/>
      <c r="C68" s="1088"/>
      <c r="D68" s="1088"/>
      <c r="E68" s="1088"/>
      <c r="F68" s="1088"/>
      <c r="G68" s="1088"/>
      <c r="H68" s="1088"/>
      <c r="I68" s="1088"/>
      <c r="J68" s="1088"/>
      <c r="K68" s="1088"/>
      <c r="L68" s="1088"/>
      <c r="M68" s="81" t="s">
        <v>426</v>
      </c>
    </row>
    <row r="69" spans="1:13" ht="12">
      <c r="A69" s="1072">
        <v>1</v>
      </c>
      <c r="B69" s="1073" t="s">
        <v>427</v>
      </c>
      <c r="C69" s="1073"/>
      <c r="D69" s="1074" t="s">
        <v>428</v>
      </c>
      <c r="E69" s="1073"/>
      <c r="F69" s="1080" t="s">
        <v>429</v>
      </c>
      <c r="G69" s="1080"/>
      <c r="H69" s="1080"/>
      <c r="I69" s="1080"/>
      <c r="J69" s="84">
        <v>5</v>
      </c>
      <c r="K69" s="84" t="s">
        <v>357</v>
      </c>
      <c r="L69" s="84"/>
      <c r="M69" s="81">
        <f>J69*1.5</f>
        <v>7.5</v>
      </c>
    </row>
    <row r="70" spans="1:13" ht="12">
      <c r="A70" s="1072"/>
      <c r="B70" s="1073"/>
      <c r="C70" s="1073"/>
      <c r="D70" s="1073"/>
      <c r="E70" s="1073"/>
      <c r="F70" s="1076" t="s">
        <v>421</v>
      </c>
      <c r="G70" s="1077"/>
      <c r="H70" s="1077"/>
      <c r="I70" s="1078"/>
      <c r="J70" s="84">
        <v>30</v>
      </c>
      <c r="K70" s="84" t="s">
        <v>430</v>
      </c>
      <c r="L70" s="84"/>
      <c r="M70" s="81">
        <f t="shared" ref="M70:M80" si="0">J70*1.5</f>
        <v>45</v>
      </c>
    </row>
    <row r="71" spans="1:13" ht="12">
      <c r="A71" s="1072"/>
      <c r="B71" s="1073"/>
      <c r="C71" s="1073"/>
      <c r="D71" s="1073"/>
      <c r="E71" s="1073"/>
      <c r="F71" s="1080" t="s">
        <v>422</v>
      </c>
      <c r="G71" s="1080"/>
      <c r="H71" s="1080"/>
      <c r="I71" s="1080"/>
      <c r="J71" s="84">
        <v>3</v>
      </c>
      <c r="K71" s="84" t="s">
        <v>357</v>
      </c>
      <c r="L71" s="84"/>
      <c r="M71" s="81">
        <f t="shared" si="0"/>
        <v>4.5</v>
      </c>
    </row>
    <row r="72" spans="1:13" ht="14.25" customHeight="1">
      <c r="A72" s="1072"/>
      <c r="B72" s="1073"/>
      <c r="C72" s="1073"/>
      <c r="D72" s="1073"/>
      <c r="E72" s="1073"/>
      <c r="F72" s="1066" t="s">
        <v>449</v>
      </c>
      <c r="G72" s="1067"/>
      <c r="H72" s="1067"/>
      <c r="I72" s="1068"/>
      <c r="J72" s="1064">
        <v>32</v>
      </c>
      <c r="K72" s="1064" t="s">
        <v>447</v>
      </c>
      <c r="L72" s="84"/>
      <c r="M72" s="81">
        <f t="shared" si="0"/>
        <v>48</v>
      </c>
    </row>
    <row r="73" spans="1:13" ht="12" customHeight="1">
      <c r="A73" s="1072"/>
      <c r="B73" s="1073"/>
      <c r="C73" s="1073"/>
      <c r="D73" s="1073"/>
      <c r="E73" s="1073"/>
      <c r="F73" s="1069"/>
      <c r="G73" s="1070"/>
      <c r="H73" s="1070"/>
      <c r="I73" s="1071"/>
      <c r="J73" s="1065"/>
      <c r="K73" s="1065"/>
      <c r="L73" s="84"/>
      <c r="M73" s="81">
        <f t="shared" si="0"/>
        <v>0</v>
      </c>
    </row>
    <row r="74" spans="1:13" ht="24">
      <c r="A74" s="1072"/>
      <c r="B74" s="1073"/>
      <c r="C74" s="1073"/>
      <c r="D74" s="1073"/>
      <c r="E74" s="1073"/>
      <c r="F74" s="1079" t="s">
        <v>431</v>
      </c>
      <c r="G74" s="1079"/>
      <c r="H74" s="1079"/>
      <c r="I74" s="1079"/>
      <c r="J74" s="85">
        <v>12</v>
      </c>
      <c r="K74" s="85" t="s">
        <v>432</v>
      </c>
      <c r="L74" s="85" t="s">
        <v>433</v>
      </c>
      <c r="M74" s="81">
        <f t="shared" si="0"/>
        <v>18</v>
      </c>
    </row>
    <row r="75" spans="1:13" ht="12">
      <c r="A75" s="1072">
        <v>2</v>
      </c>
      <c r="B75" s="1073" t="s">
        <v>427</v>
      </c>
      <c r="C75" s="1073"/>
      <c r="D75" s="1074" t="s">
        <v>434</v>
      </c>
      <c r="E75" s="1073"/>
      <c r="F75" s="1080" t="s">
        <v>429</v>
      </c>
      <c r="G75" s="1080"/>
      <c r="H75" s="1080"/>
      <c r="I75" s="1080"/>
      <c r="J75" s="84">
        <v>8</v>
      </c>
      <c r="K75" s="84" t="s">
        <v>435</v>
      </c>
      <c r="L75" s="88"/>
      <c r="M75" s="81">
        <f t="shared" si="0"/>
        <v>12</v>
      </c>
    </row>
    <row r="76" spans="1:13" ht="12">
      <c r="A76" s="1072"/>
      <c r="B76" s="1073"/>
      <c r="C76" s="1073"/>
      <c r="D76" s="1073"/>
      <c r="E76" s="1073"/>
      <c r="F76" s="1076" t="s">
        <v>421</v>
      </c>
      <c r="G76" s="1077"/>
      <c r="H76" s="1077"/>
      <c r="I76" s="1078"/>
      <c r="J76" s="84">
        <v>50</v>
      </c>
      <c r="K76" s="84" t="s">
        <v>430</v>
      </c>
      <c r="L76" s="88"/>
      <c r="M76" s="81">
        <f t="shared" si="0"/>
        <v>75</v>
      </c>
    </row>
    <row r="77" spans="1:13" ht="12">
      <c r="A77" s="1072"/>
      <c r="B77" s="1073"/>
      <c r="C77" s="1073"/>
      <c r="D77" s="1073"/>
      <c r="E77" s="1073"/>
      <c r="F77" s="1080" t="s">
        <v>422</v>
      </c>
      <c r="G77" s="1080"/>
      <c r="H77" s="1080"/>
      <c r="I77" s="1080"/>
      <c r="J77" s="84">
        <v>5</v>
      </c>
      <c r="K77" s="84" t="s">
        <v>435</v>
      </c>
      <c r="L77" s="88"/>
      <c r="M77" s="81">
        <f t="shared" si="0"/>
        <v>7.5</v>
      </c>
    </row>
    <row r="78" spans="1:13" ht="14.25" customHeight="1">
      <c r="A78" s="1072"/>
      <c r="B78" s="1073"/>
      <c r="C78" s="1073"/>
      <c r="D78" s="1073"/>
      <c r="E78" s="1073"/>
      <c r="F78" s="1066" t="s">
        <v>448</v>
      </c>
      <c r="G78" s="1067"/>
      <c r="H78" s="1067"/>
      <c r="I78" s="1068"/>
      <c r="J78" s="1064">
        <v>60</v>
      </c>
      <c r="K78" s="1064" t="s">
        <v>447</v>
      </c>
      <c r="L78" s="88"/>
      <c r="M78" s="81">
        <f t="shared" si="0"/>
        <v>90</v>
      </c>
    </row>
    <row r="79" spans="1:13" ht="12" customHeight="1">
      <c r="A79" s="1072"/>
      <c r="B79" s="1073"/>
      <c r="C79" s="1073"/>
      <c r="D79" s="1073"/>
      <c r="E79" s="1073"/>
      <c r="F79" s="1069"/>
      <c r="G79" s="1070"/>
      <c r="H79" s="1070"/>
      <c r="I79" s="1071"/>
      <c r="J79" s="1065"/>
      <c r="K79" s="1065"/>
      <c r="L79" s="88"/>
      <c r="M79" s="81">
        <f t="shared" si="0"/>
        <v>0</v>
      </c>
    </row>
    <row r="80" spans="1:13" ht="24">
      <c r="A80" s="1072"/>
      <c r="B80" s="1073"/>
      <c r="C80" s="1073"/>
      <c r="D80" s="1073"/>
      <c r="E80" s="1073"/>
      <c r="F80" s="1079" t="s">
        <v>431</v>
      </c>
      <c r="G80" s="1079"/>
      <c r="H80" s="1079"/>
      <c r="I80" s="1079"/>
      <c r="J80" s="85">
        <v>20</v>
      </c>
      <c r="K80" s="85" t="s">
        <v>432</v>
      </c>
      <c r="L80" s="85" t="s">
        <v>433</v>
      </c>
      <c r="M80" s="81">
        <f t="shared" si="0"/>
        <v>30</v>
      </c>
    </row>
    <row r="81" spans="1:20" s="89" customFormat="1" ht="14.25">
      <c r="A81" s="1088" t="s">
        <v>436</v>
      </c>
      <c r="B81" s="1088"/>
      <c r="C81" s="1088"/>
      <c r="D81" s="1088"/>
      <c r="E81" s="1088"/>
      <c r="F81" s="1088"/>
      <c r="G81" s="1088"/>
      <c r="H81" s="1088"/>
      <c r="I81" s="1088"/>
      <c r="J81" s="1088"/>
      <c r="K81" s="1088"/>
      <c r="L81" s="1089"/>
      <c r="T81" s="92"/>
    </row>
    <row r="82" spans="1:20" ht="12">
      <c r="A82" s="1080">
        <v>1</v>
      </c>
      <c r="B82" s="1066" t="s">
        <v>437</v>
      </c>
      <c r="C82" s="1068"/>
      <c r="D82" s="1080" t="s">
        <v>438</v>
      </c>
      <c r="E82" s="1092">
        <v>1</v>
      </c>
      <c r="F82" s="1080" t="s">
        <v>429</v>
      </c>
      <c r="G82" s="1080"/>
      <c r="H82" s="1080"/>
      <c r="I82" s="1080"/>
      <c r="J82" s="84">
        <f>E82*2</f>
        <v>2</v>
      </c>
      <c r="K82" s="84" t="s">
        <v>357</v>
      </c>
      <c r="L82" s="1080" t="s">
        <v>439</v>
      </c>
    </row>
    <row r="83" spans="1:20" ht="12">
      <c r="A83" s="1080"/>
      <c r="B83" s="1090"/>
      <c r="C83" s="1091"/>
      <c r="D83" s="1080"/>
      <c r="E83" s="1093"/>
      <c r="F83" s="1076" t="s">
        <v>421</v>
      </c>
      <c r="G83" s="1077"/>
      <c r="H83" s="1077"/>
      <c r="I83" s="1078"/>
      <c r="J83" s="84">
        <f>+E82*5</f>
        <v>5</v>
      </c>
      <c r="K83" s="84" t="s">
        <v>336</v>
      </c>
      <c r="L83" s="1080"/>
    </row>
    <row r="84" spans="1:20" ht="12">
      <c r="A84" s="1080"/>
      <c r="B84" s="1090"/>
      <c r="C84" s="1091"/>
      <c r="D84" s="1080"/>
      <c r="E84" s="1093"/>
      <c r="F84" s="1080" t="s">
        <v>422</v>
      </c>
      <c r="G84" s="1080"/>
      <c r="H84" s="1080"/>
      <c r="I84" s="1080"/>
      <c r="J84" s="84">
        <f>+E82*1</f>
        <v>1</v>
      </c>
      <c r="K84" s="84" t="s">
        <v>435</v>
      </c>
      <c r="L84" s="1080"/>
    </row>
    <row r="85" spans="1:20" ht="12">
      <c r="A85" s="1080"/>
      <c r="B85" s="1069"/>
      <c r="C85" s="1071"/>
      <c r="D85" s="1080"/>
      <c r="E85" s="1093"/>
      <c r="F85" s="1080" t="s">
        <v>440</v>
      </c>
      <c r="G85" s="1080"/>
      <c r="H85" s="1080"/>
      <c r="I85" s="1080"/>
      <c r="J85" s="84">
        <f>+E82*8</f>
        <v>8</v>
      </c>
      <c r="K85" s="84" t="s">
        <v>419</v>
      </c>
      <c r="L85" s="1080"/>
    </row>
    <row r="86" spans="1:20" ht="12">
      <c r="A86" s="1080">
        <v>2</v>
      </c>
      <c r="B86" s="1066" t="s">
        <v>441</v>
      </c>
      <c r="C86" s="1068"/>
      <c r="D86" s="1080" t="s">
        <v>442</v>
      </c>
      <c r="E86" s="1092">
        <v>1</v>
      </c>
      <c r="F86" s="1080" t="s">
        <v>429</v>
      </c>
      <c r="G86" s="1080"/>
      <c r="H86" s="1080"/>
      <c r="I86" s="1080"/>
      <c r="J86" s="84">
        <f>E86*1</f>
        <v>1</v>
      </c>
      <c r="K86" s="84" t="s">
        <v>435</v>
      </c>
      <c r="L86" s="1080"/>
    </row>
    <row r="87" spans="1:20" ht="12">
      <c r="A87" s="1080"/>
      <c r="B87" s="1090"/>
      <c r="C87" s="1091"/>
      <c r="D87" s="1080"/>
      <c r="E87" s="1093"/>
      <c r="F87" s="1076" t="s">
        <v>421</v>
      </c>
      <c r="G87" s="1077"/>
      <c r="H87" s="1077"/>
      <c r="I87" s="1078"/>
      <c r="J87" s="84">
        <f>+E86*4</f>
        <v>4</v>
      </c>
      <c r="K87" s="84" t="s">
        <v>430</v>
      </c>
      <c r="L87" s="1080"/>
    </row>
    <row r="88" spans="1:20" ht="12">
      <c r="A88" s="1080"/>
      <c r="B88" s="1090"/>
      <c r="C88" s="1091"/>
      <c r="D88" s="1080"/>
      <c r="E88" s="1093"/>
      <c r="F88" s="1080" t="s">
        <v>422</v>
      </c>
      <c r="G88" s="1080"/>
      <c r="H88" s="1080"/>
      <c r="I88" s="1080"/>
      <c r="J88" s="84">
        <f>+E86*0.5</f>
        <v>0.5</v>
      </c>
      <c r="K88" s="84" t="s">
        <v>435</v>
      </c>
      <c r="L88" s="1080"/>
    </row>
    <row r="89" spans="1:20" ht="12">
      <c r="A89" s="1080"/>
      <c r="B89" s="1069"/>
      <c r="C89" s="1071"/>
      <c r="D89" s="1080"/>
      <c r="E89" s="1093"/>
      <c r="F89" s="1080" t="s">
        <v>440</v>
      </c>
      <c r="G89" s="1080"/>
      <c r="H89" s="1080"/>
      <c r="I89" s="1080"/>
      <c r="J89" s="84">
        <f>+E86*8</f>
        <v>8</v>
      </c>
      <c r="K89" s="84" t="s">
        <v>419</v>
      </c>
      <c r="L89" s="1080"/>
    </row>
    <row r="90" spans="1:20" ht="12">
      <c r="A90" s="1080">
        <v>3</v>
      </c>
      <c r="B90" s="1066" t="s">
        <v>443</v>
      </c>
      <c r="C90" s="1068"/>
      <c r="D90" s="1080" t="s">
        <v>444</v>
      </c>
      <c r="E90" s="1072">
        <v>1</v>
      </c>
      <c r="F90" s="1080" t="s">
        <v>429</v>
      </c>
      <c r="G90" s="1080"/>
      <c r="H90" s="1080"/>
      <c r="I90" s="1080"/>
      <c r="J90" s="84">
        <f>E90*2</f>
        <v>2</v>
      </c>
      <c r="K90" s="84" t="s">
        <v>357</v>
      </c>
      <c r="L90" s="1080"/>
    </row>
    <row r="91" spans="1:20" ht="12">
      <c r="A91" s="1080"/>
      <c r="B91" s="1090"/>
      <c r="C91" s="1091"/>
      <c r="D91" s="1080"/>
      <c r="E91" s="1072"/>
      <c r="F91" s="1076" t="s">
        <v>421</v>
      </c>
      <c r="G91" s="1077"/>
      <c r="H91" s="1077"/>
      <c r="I91" s="1078"/>
      <c r="J91" s="84">
        <f>+E90*7</f>
        <v>7</v>
      </c>
      <c r="K91" s="84" t="s">
        <v>336</v>
      </c>
      <c r="L91" s="1080"/>
    </row>
    <row r="92" spans="1:20" ht="12">
      <c r="A92" s="1080"/>
      <c r="B92" s="1090"/>
      <c r="C92" s="1091"/>
      <c r="D92" s="1080"/>
      <c r="E92" s="1072"/>
      <c r="F92" s="1080" t="s">
        <v>422</v>
      </c>
      <c r="G92" s="1080"/>
      <c r="H92" s="1080"/>
      <c r="I92" s="1080"/>
      <c r="J92" s="84">
        <f>+E90*1.5</f>
        <v>1.5</v>
      </c>
      <c r="K92" s="84" t="s">
        <v>435</v>
      </c>
      <c r="L92" s="1080"/>
    </row>
    <row r="93" spans="1:20" ht="12">
      <c r="A93" s="1080"/>
      <c r="B93" s="1069"/>
      <c r="C93" s="1071"/>
      <c r="D93" s="1080"/>
      <c r="E93" s="1072"/>
      <c r="F93" s="1080" t="s">
        <v>440</v>
      </c>
      <c r="G93" s="1080"/>
      <c r="H93" s="1080"/>
      <c r="I93" s="1080"/>
      <c r="J93" s="84">
        <f>+E90*8</f>
        <v>8</v>
      </c>
      <c r="K93" s="84" t="s">
        <v>419</v>
      </c>
      <c r="L93" s="1080"/>
    </row>
  </sheetData>
  <mergeCells count="20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 ref="F8:I8"/>
    <mergeCell ref="F9:I9"/>
    <mergeCell ref="F10:I10"/>
    <mergeCell ref="A11:A14"/>
    <mergeCell ref="B11:B14"/>
    <mergeCell ref="C11:C14"/>
    <mergeCell ref="D11:D14"/>
    <mergeCell ref="E11:E14"/>
    <mergeCell ref="F11:I11"/>
    <mergeCell ref="F12:I12"/>
    <mergeCell ref="F13:I13"/>
    <mergeCell ref="F14:I14"/>
    <mergeCell ref="A15:A18"/>
    <mergeCell ref="B15:B18"/>
    <mergeCell ref="C15:C18"/>
    <mergeCell ref="D15:D18"/>
    <mergeCell ref="E15:E18"/>
    <mergeCell ref="F15:I15"/>
    <mergeCell ref="F16:I16"/>
    <mergeCell ref="F17:I17"/>
    <mergeCell ref="F18:I18"/>
    <mergeCell ref="A19:A22"/>
    <mergeCell ref="B19:B22"/>
    <mergeCell ref="C19:C22"/>
    <mergeCell ref="D19:D22"/>
    <mergeCell ref="E19:E22"/>
    <mergeCell ref="F19:I19"/>
    <mergeCell ref="F20:I20"/>
    <mergeCell ref="F21:I21"/>
    <mergeCell ref="F22:I22"/>
    <mergeCell ref="A23:A26"/>
    <mergeCell ref="B23:B26"/>
    <mergeCell ref="C23:C26"/>
    <mergeCell ref="D23:D26"/>
    <mergeCell ref="E23:E26"/>
    <mergeCell ref="F23:I23"/>
    <mergeCell ref="F24:I24"/>
    <mergeCell ref="F25:I25"/>
    <mergeCell ref="F26:I26"/>
    <mergeCell ref="A27:A30"/>
    <mergeCell ref="B27:B30"/>
    <mergeCell ref="C27:C30"/>
    <mergeCell ref="D27:D30"/>
    <mergeCell ref="E27:E30"/>
    <mergeCell ref="F27:I27"/>
    <mergeCell ref="F28:I28"/>
    <mergeCell ref="F29:I29"/>
    <mergeCell ref="F30:I30"/>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39:L39"/>
    <mergeCell ref="A40:A42"/>
    <mergeCell ref="B40:B42"/>
    <mergeCell ref="C40:C42"/>
    <mergeCell ref="D40:D42"/>
    <mergeCell ref="E40:E42"/>
    <mergeCell ref="F40:I40"/>
    <mergeCell ref="F41:I41"/>
    <mergeCell ref="F42:I42"/>
    <mergeCell ref="A43:A46"/>
    <mergeCell ref="B43:B46"/>
    <mergeCell ref="C43:C46"/>
    <mergeCell ref="D43:D46"/>
    <mergeCell ref="E43:E46"/>
    <mergeCell ref="F43:I43"/>
    <mergeCell ref="F44:I44"/>
    <mergeCell ref="F45:I45"/>
    <mergeCell ref="F46:I46"/>
    <mergeCell ref="A47:A50"/>
    <mergeCell ref="B47:B50"/>
    <mergeCell ref="C47:C50"/>
    <mergeCell ref="D47:D50"/>
    <mergeCell ref="E47:E50"/>
    <mergeCell ref="F47:I47"/>
    <mergeCell ref="F48:I48"/>
    <mergeCell ref="F49:I49"/>
    <mergeCell ref="F50:I50"/>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60:A63"/>
    <mergeCell ref="B60:B63"/>
    <mergeCell ref="C60:C63"/>
    <mergeCell ref="D60:D63"/>
    <mergeCell ref="E60:E63"/>
    <mergeCell ref="F60:I60"/>
    <mergeCell ref="L60:L63"/>
    <mergeCell ref="F61:I61"/>
    <mergeCell ref="F62:I62"/>
    <mergeCell ref="F63:I63"/>
    <mergeCell ref="A64:A67"/>
    <mergeCell ref="B64:B67"/>
    <mergeCell ref="C64:C67"/>
    <mergeCell ref="D64:D67"/>
    <mergeCell ref="E64:E67"/>
    <mergeCell ref="F64:I64"/>
    <mergeCell ref="L64:L67"/>
    <mergeCell ref="F65:I65"/>
    <mergeCell ref="F66:I66"/>
    <mergeCell ref="F67:I67"/>
    <mergeCell ref="A68:L68"/>
    <mergeCell ref="A69:A74"/>
    <mergeCell ref="B69:C74"/>
    <mergeCell ref="D69:E74"/>
    <mergeCell ref="F69:I69"/>
    <mergeCell ref="F70:I70"/>
    <mergeCell ref="F71:I71"/>
    <mergeCell ref="F74:I74"/>
    <mergeCell ref="F72:I73"/>
    <mergeCell ref="J72:J73"/>
    <mergeCell ref="K72:K73"/>
    <mergeCell ref="F90:I90"/>
    <mergeCell ref="F91:I91"/>
    <mergeCell ref="A75:A80"/>
    <mergeCell ref="B75:C80"/>
    <mergeCell ref="D75:E80"/>
    <mergeCell ref="F75:I75"/>
    <mergeCell ref="F76:I76"/>
    <mergeCell ref="F77:I77"/>
    <mergeCell ref="F80:I80"/>
    <mergeCell ref="F78:I79"/>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s>
  <phoneticPr fontId="32" type="noConversion"/>
  <pageMargins left="0.7" right="0.7"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675" t="s">
        <v>28</v>
      </c>
      <c r="B1" s="675"/>
      <c r="C1" s="675"/>
      <c r="D1" s="675"/>
      <c r="E1" s="675"/>
      <c r="F1" s="675"/>
      <c r="G1" s="675"/>
      <c r="H1" s="675"/>
    </row>
    <row r="2" spans="1:8" ht="21.95" customHeight="1">
      <c r="B2" s="17" t="s">
        <v>22</v>
      </c>
      <c r="E2" s="676" t="s">
        <v>29</v>
      </c>
      <c r="F2" s="676"/>
      <c r="G2" s="677" t="e">
        <f>#REF!</f>
        <v>#REF!</v>
      </c>
      <c r="H2" s="677"/>
    </row>
    <row r="3" spans="1:8" ht="21" customHeight="1">
      <c r="A3" s="6" t="s">
        <v>9</v>
      </c>
      <c r="B3" s="678" t="e">
        <f>#REF!</f>
        <v>#REF!</v>
      </c>
      <c r="C3" s="674"/>
      <c r="D3" s="6" t="s">
        <v>30</v>
      </c>
      <c r="E3" s="678"/>
      <c r="F3" s="674"/>
      <c r="G3" s="6" t="s">
        <v>31</v>
      </c>
      <c r="H3" s="10" t="e">
        <f>#REF!</f>
        <v>#REF!</v>
      </c>
    </row>
    <row r="4" spans="1:8" ht="21" customHeight="1">
      <c r="A4" s="6" t="s">
        <v>17</v>
      </c>
      <c r="B4" s="673" t="e">
        <f>#REF!</f>
        <v>#REF!</v>
      </c>
      <c r="C4" s="674"/>
      <c r="D4" s="6" t="s">
        <v>32</v>
      </c>
      <c r="E4" s="673"/>
      <c r="F4" s="674"/>
      <c r="G4" s="6" t="s">
        <v>33</v>
      </c>
      <c r="H4" s="10"/>
    </row>
    <row r="5" spans="1:8" ht="21" customHeight="1">
      <c r="A5" s="6" t="s">
        <v>34</v>
      </c>
      <c r="B5" s="6" t="s">
        <v>35</v>
      </c>
      <c r="C5" s="6" t="s">
        <v>36</v>
      </c>
      <c r="D5" s="6" t="s">
        <v>37</v>
      </c>
      <c r="E5" s="6" t="s">
        <v>38</v>
      </c>
      <c r="F5" s="6" t="s">
        <v>39</v>
      </c>
      <c r="G5" s="6" t="s">
        <v>40</v>
      </c>
      <c r="H5" s="6" t="s">
        <v>41</v>
      </c>
    </row>
    <row r="6" spans="1:8" ht="21" customHeight="1">
      <c r="A6" s="6" t="s">
        <v>42</v>
      </c>
      <c r="B6" s="679" t="e">
        <f>#REF!</f>
        <v>#REF!</v>
      </c>
      <c r="C6" s="680"/>
      <c r="D6" s="6" t="s">
        <v>43</v>
      </c>
      <c r="E6" s="679" t="e">
        <f>#REF!</f>
        <v>#REF!</v>
      </c>
      <c r="F6" s="680"/>
      <c r="G6" s="6" t="s">
        <v>44</v>
      </c>
      <c r="H6" s="6"/>
    </row>
    <row r="7" spans="1:8" ht="21" customHeight="1">
      <c r="A7" s="6" t="s">
        <v>45</v>
      </c>
      <c r="B7" s="679" t="e">
        <f>#REF!</f>
        <v>#REF!</v>
      </c>
      <c r="C7" s="680"/>
      <c r="D7" s="6" t="s">
        <v>46</v>
      </c>
      <c r="E7" s="679"/>
      <c r="F7" s="680"/>
      <c r="G7" s="6" t="s">
        <v>47</v>
      </c>
      <c r="H7" s="6"/>
    </row>
    <row r="8" spans="1:8" s="8" customFormat="1" ht="21" customHeight="1">
      <c r="A8" s="6" t="s">
        <v>1</v>
      </c>
      <c r="B8" s="6" t="s">
        <v>48</v>
      </c>
      <c r="C8" s="6" t="s">
        <v>49</v>
      </c>
      <c r="D8" s="6" t="s">
        <v>50</v>
      </c>
      <c r="E8" s="6" t="s">
        <v>51</v>
      </c>
      <c r="F8" s="6" t="s">
        <v>52</v>
      </c>
      <c r="G8" s="6" t="s">
        <v>53</v>
      </c>
      <c r="H8" s="6" t="s">
        <v>0</v>
      </c>
    </row>
    <row r="9" spans="1:8" ht="21" customHeight="1">
      <c r="A9" s="11">
        <v>1</v>
      </c>
      <c r="B9" s="6" t="s">
        <v>54</v>
      </c>
      <c r="C9" s="12" t="e">
        <f>#REF!</f>
        <v>#REF!</v>
      </c>
      <c r="D9" s="13"/>
      <c r="E9" s="13"/>
      <c r="F9" s="13"/>
      <c r="G9" s="13"/>
      <c r="H9" s="13"/>
    </row>
    <row r="10" spans="1:8" ht="21" customHeight="1">
      <c r="A10" s="11">
        <v>2</v>
      </c>
      <c r="B10" s="6" t="s">
        <v>55</v>
      </c>
      <c r="C10" s="12" t="e">
        <f>#REF!</f>
        <v>#REF!</v>
      </c>
      <c r="D10" s="13"/>
      <c r="E10" s="13"/>
      <c r="F10" s="13"/>
      <c r="G10" s="13"/>
      <c r="H10" s="13"/>
    </row>
    <row r="11" spans="1:8" ht="21" customHeight="1">
      <c r="A11" s="11">
        <v>3</v>
      </c>
      <c r="B11" s="6" t="s">
        <v>56</v>
      </c>
      <c r="C11" s="12" t="e">
        <f>#REF!</f>
        <v>#REF!</v>
      </c>
      <c r="D11" s="13"/>
      <c r="E11" s="13"/>
      <c r="F11" s="13"/>
      <c r="G11" s="13"/>
      <c r="H11" s="13"/>
    </row>
    <row r="12" spans="1:8" ht="21" customHeight="1">
      <c r="A12" s="11">
        <v>4</v>
      </c>
      <c r="B12" s="6" t="s">
        <v>57</v>
      </c>
      <c r="C12" s="12" t="s">
        <v>77</v>
      </c>
      <c r="D12" s="13"/>
      <c r="E12" s="13"/>
      <c r="F12" s="13"/>
      <c r="G12" s="13"/>
      <c r="H12" s="13"/>
    </row>
    <row r="13" spans="1:8" ht="21" customHeight="1">
      <c r="A13" s="11">
        <v>5</v>
      </c>
      <c r="B13" s="6" t="s">
        <v>27</v>
      </c>
      <c r="C13" s="12"/>
      <c r="D13" s="13"/>
      <c r="E13" s="13"/>
      <c r="F13" s="13"/>
      <c r="G13" s="13"/>
      <c r="H13" s="13"/>
    </row>
    <row r="14" spans="1:8" ht="21" customHeight="1">
      <c r="A14" s="11">
        <v>6</v>
      </c>
      <c r="B14" s="6" t="s">
        <v>58</v>
      </c>
      <c r="C14" s="12"/>
      <c r="D14" s="13"/>
      <c r="E14" s="13"/>
      <c r="F14" s="13"/>
      <c r="G14" s="13"/>
      <c r="H14" s="13"/>
    </row>
    <row r="15" spans="1:8" ht="21" customHeight="1">
      <c r="A15" s="11">
        <v>7</v>
      </c>
      <c r="B15" s="6" t="s">
        <v>59</v>
      </c>
      <c r="C15" s="12"/>
      <c r="D15" s="13"/>
      <c r="E15" s="13"/>
      <c r="F15" s="13"/>
      <c r="G15" s="13"/>
      <c r="H15" s="13"/>
    </row>
    <row r="16" spans="1:8" ht="21" customHeight="1">
      <c r="A16" s="11">
        <v>8</v>
      </c>
      <c r="B16" s="6" t="s">
        <v>60</v>
      </c>
      <c r="C16" s="12"/>
      <c r="D16" s="13"/>
      <c r="E16" s="13"/>
      <c r="F16" s="13"/>
      <c r="G16" s="13"/>
      <c r="H16" s="13"/>
    </row>
    <row r="17" spans="1:8" ht="21" customHeight="1">
      <c r="A17" s="11">
        <v>9</v>
      </c>
      <c r="B17" s="6" t="s">
        <v>61</v>
      </c>
      <c r="C17" s="12"/>
      <c r="D17" s="13"/>
      <c r="E17" s="13"/>
      <c r="F17" s="13"/>
      <c r="G17" s="13"/>
      <c r="H17" s="13"/>
    </row>
    <row r="18" spans="1:8" ht="21" customHeight="1">
      <c r="A18" s="11">
        <v>10</v>
      </c>
      <c r="B18" s="6" t="s">
        <v>62</v>
      </c>
      <c r="C18" s="12" t="e">
        <f>B6+E6</f>
        <v>#REF!</v>
      </c>
      <c r="D18" s="13"/>
      <c r="E18" s="13"/>
      <c r="F18" s="13"/>
      <c r="G18" s="13"/>
      <c r="H18" s="13"/>
    </row>
    <row r="19" spans="1:8" ht="21" customHeight="1">
      <c r="A19" s="11">
        <v>11</v>
      </c>
      <c r="B19" s="6" t="s">
        <v>63</v>
      </c>
      <c r="C19" s="12" t="e">
        <f>#REF!+#REF!+#REF!+#REF!+#REF!+#REF!</f>
        <v>#REF!</v>
      </c>
      <c r="D19" s="13"/>
      <c r="E19" s="13"/>
      <c r="F19" s="13"/>
      <c r="G19" s="13"/>
      <c r="H19" s="13"/>
    </row>
    <row r="20" spans="1:8" ht="21" customHeight="1">
      <c r="A20" s="11">
        <v>12</v>
      </c>
      <c r="B20" s="6" t="s">
        <v>64</v>
      </c>
      <c r="C20" s="12"/>
      <c r="D20" s="13"/>
      <c r="E20" s="13"/>
      <c r="F20" s="13"/>
      <c r="G20" s="13"/>
      <c r="H20" s="13"/>
    </row>
    <row r="21" spans="1:8" ht="21" customHeight="1">
      <c r="A21" s="11">
        <v>13</v>
      </c>
      <c r="B21" s="6" t="s">
        <v>65</v>
      </c>
      <c r="C21" s="12"/>
      <c r="D21" s="13"/>
      <c r="E21" s="13"/>
      <c r="F21" s="13"/>
      <c r="G21" s="13"/>
      <c r="H21" s="13"/>
    </row>
    <row r="22" spans="1:8" ht="21" customHeight="1">
      <c r="A22" s="11">
        <v>14</v>
      </c>
      <c r="B22" s="6" t="s">
        <v>66</v>
      </c>
      <c r="C22" s="12"/>
      <c r="D22" s="13"/>
      <c r="E22" s="13"/>
      <c r="F22" s="13"/>
      <c r="G22" s="13"/>
      <c r="H22" s="13"/>
    </row>
    <row r="23" spans="1:8" ht="21" customHeight="1">
      <c r="A23" s="11">
        <v>15</v>
      </c>
      <c r="B23" s="6" t="s">
        <v>67</v>
      </c>
      <c r="C23" s="12" t="e">
        <f>(#REF!+#REF!+#REF!)/2</f>
        <v>#REF!</v>
      </c>
      <c r="D23" s="13"/>
      <c r="E23" s="13"/>
      <c r="F23" s="13"/>
      <c r="G23" s="13"/>
      <c r="H23" s="13"/>
    </row>
    <row r="24" spans="1:8" ht="21" customHeight="1">
      <c r="A24" s="11">
        <v>16</v>
      </c>
      <c r="B24" s="6" t="s">
        <v>68</v>
      </c>
      <c r="C24" s="12"/>
      <c r="D24" s="13"/>
      <c r="E24" s="13"/>
      <c r="F24" s="13"/>
      <c r="G24" s="13"/>
      <c r="H24" s="13"/>
    </row>
    <row r="25" spans="1:8" ht="21" customHeight="1">
      <c r="A25" s="11">
        <v>17</v>
      </c>
      <c r="B25" s="6" t="s">
        <v>69</v>
      </c>
      <c r="C25" s="12"/>
      <c r="D25" s="13"/>
      <c r="E25" s="13"/>
      <c r="F25" s="13"/>
      <c r="G25" s="13"/>
      <c r="H25" s="13"/>
    </row>
    <row r="26" spans="1:8" ht="21" customHeight="1">
      <c r="A26" s="11">
        <v>18</v>
      </c>
      <c r="B26" s="6" t="s">
        <v>70</v>
      </c>
      <c r="C26" s="12" t="e">
        <f>#REF!/2</f>
        <v>#REF!</v>
      </c>
      <c r="D26" s="13"/>
      <c r="E26" s="13"/>
      <c r="F26" s="13"/>
      <c r="G26" s="13"/>
      <c r="H26" s="13"/>
    </row>
    <row r="27" spans="1:8" ht="21" customHeight="1">
      <c r="A27" s="11">
        <v>19</v>
      </c>
      <c r="B27" s="6" t="s">
        <v>71</v>
      </c>
      <c r="C27" s="12"/>
      <c r="D27" s="13"/>
      <c r="E27" s="13"/>
      <c r="F27" s="13"/>
      <c r="G27" s="13"/>
      <c r="H27" s="13"/>
    </row>
    <row r="28" spans="1:8" ht="21" customHeight="1">
      <c r="A28" s="11">
        <v>20</v>
      </c>
      <c r="B28" s="6" t="s">
        <v>72</v>
      </c>
      <c r="C28" s="12"/>
      <c r="D28" s="13"/>
      <c r="E28" s="13"/>
      <c r="F28" s="13"/>
      <c r="G28" s="13"/>
      <c r="H28" s="13"/>
    </row>
    <row r="29" spans="1:8" ht="21" customHeight="1">
      <c r="A29" s="11">
        <v>21</v>
      </c>
      <c r="B29" s="6" t="s">
        <v>73</v>
      </c>
      <c r="C29" s="12"/>
      <c r="D29" s="13"/>
      <c r="E29" s="13"/>
      <c r="F29" s="13"/>
      <c r="G29" s="13"/>
      <c r="H29" s="13"/>
    </row>
    <row r="30" spans="1:8" ht="21" customHeight="1">
      <c r="A30" s="11">
        <v>22</v>
      </c>
      <c r="B30" s="6" t="s">
        <v>74</v>
      </c>
      <c r="C30" s="75" t="e">
        <f>#REF!*1.2</f>
        <v>#REF!</v>
      </c>
      <c r="D30" s="13"/>
      <c r="E30" s="13"/>
      <c r="F30" s="13"/>
      <c r="G30" s="13"/>
      <c r="H30" s="13"/>
    </row>
    <row r="31" spans="1:8" ht="21" customHeight="1">
      <c r="A31" s="14"/>
      <c r="B31" s="14"/>
      <c r="C31" s="15"/>
      <c r="D31" s="15"/>
      <c r="E31" s="15"/>
      <c r="F31" s="15"/>
      <c r="G31" s="15"/>
      <c r="H31" s="14"/>
    </row>
    <row r="32" spans="1:8" ht="21" customHeight="1">
      <c r="A32" s="682" t="s">
        <v>75</v>
      </c>
      <c r="B32" s="682"/>
      <c r="C32" s="9"/>
      <c r="F32" s="8" t="s">
        <v>76</v>
      </c>
      <c r="G32" s="74" t="s">
        <v>318</v>
      </c>
    </row>
    <row r="33" spans="1:8" ht="21" customHeight="1">
      <c r="A33" s="16"/>
      <c r="B33" s="16"/>
      <c r="C33" s="14"/>
      <c r="G33" s="14"/>
    </row>
    <row r="34" spans="1:8" ht="21" customHeight="1">
      <c r="F34" s="8" t="s">
        <v>6</v>
      </c>
      <c r="G34" s="681" t="e">
        <f>B4</f>
        <v>#REF!</v>
      </c>
      <c r="H34" s="681"/>
    </row>
  </sheetData>
  <mergeCells count="13">
    <mergeCell ref="B6:C6"/>
    <mergeCell ref="E6:F6"/>
    <mergeCell ref="G34:H34"/>
    <mergeCell ref="B7:C7"/>
    <mergeCell ref="E7:F7"/>
    <mergeCell ref="A32:B32"/>
    <mergeCell ref="E4:F4"/>
    <mergeCell ref="B4:C4"/>
    <mergeCell ref="A1:H1"/>
    <mergeCell ref="E2:F2"/>
    <mergeCell ref="G2:H2"/>
    <mergeCell ref="B3:C3"/>
    <mergeCell ref="E3:F3"/>
  </mergeCells>
  <phoneticPr fontId="3" type="noConversion"/>
  <printOptions horizontalCentered="1"/>
  <pageMargins left="7.874015748031496E-2" right="7.874015748031496E-2" top="0.78740157480314965" bottom="0.39370078740157483"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726" t="s">
        <v>78</v>
      </c>
      <c r="B1" s="726"/>
      <c r="C1" s="726"/>
      <c r="D1" s="726"/>
      <c r="E1" s="726"/>
      <c r="F1" s="726"/>
      <c r="G1" s="726"/>
      <c r="H1" s="726"/>
      <c r="I1" s="726"/>
      <c r="J1" s="19"/>
      <c r="K1" s="19"/>
      <c r="L1" s="19"/>
      <c r="M1" s="19"/>
      <c r="N1" s="19"/>
      <c r="O1" s="19"/>
      <c r="P1" s="19"/>
      <c r="Q1" s="19"/>
      <c r="R1" s="19"/>
      <c r="S1" s="19"/>
      <c r="T1" s="19"/>
      <c r="U1" s="19"/>
      <c r="V1" s="19"/>
      <c r="W1" s="19"/>
      <c r="X1" s="20"/>
    </row>
    <row r="2" spans="1:32" s="21" customFormat="1" ht="15" customHeight="1">
      <c r="A2" s="22" t="s">
        <v>79</v>
      </c>
      <c r="B2" s="22" t="e">
        <f>#REF!</f>
        <v>#REF!</v>
      </c>
      <c r="C2" s="726" t="s">
        <v>80</v>
      </c>
      <c r="D2" s="726"/>
      <c r="E2" s="726" t="e">
        <f>#REF!</f>
        <v>#REF!</v>
      </c>
      <c r="F2" s="726"/>
      <c r="G2" s="22" t="s">
        <v>81</v>
      </c>
      <c r="H2" s="53" t="e">
        <f>#REF!</f>
        <v>#REF!</v>
      </c>
      <c r="I2" s="22"/>
      <c r="J2" s="19"/>
      <c r="K2" s="19"/>
      <c r="L2" s="19"/>
      <c r="M2" s="19"/>
      <c r="N2" s="19"/>
      <c r="O2" s="19"/>
      <c r="P2" s="19"/>
      <c r="Q2" s="19"/>
      <c r="R2" s="19"/>
      <c r="S2" s="19"/>
      <c r="T2" s="19"/>
      <c r="U2" s="19"/>
      <c r="V2" s="19"/>
      <c r="W2" s="19"/>
      <c r="X2" s="20"/>
    </row>
    <row r="3" spans="1:32" s="21" customFormat="1" ht="15" customHeight="1" thickBot="1">
      <c r="A3" s="22" t="s">
        <v>82</v>
      </c>
      <c r="B3" s="22" t="e">
        <f>#REF!</f>
        <v>#REF!</v>
      </c>
      <c r="C3" s="727" t="s">
        <v>83</v>
      </c>
      <c r="D3" s="727"/>
      <c r="E3" s="727" t="e">
        <f>#REF!</f>
        <v>#REF!</v>
      </c>
      <c r="F3" s="727"/>
      <c r="G3" s="22" t="s">
        <v>84</v>
      </c>
      <c r="H3" s="53" t="e">
        <f>#REF!</f>
        <v>#REF!</v>
      </c>
      <c r="I3" s="22"/>
      <c r="J3" s="19"/>
      <c r="K3" s="19"/>
      <c r="L3" s="19"/>
      <c r="M3" s="19"/>
      <c r="N3" s="19"/>
      <c r="O3" s="19"/>
      <c r="P3" s="19"/>
      <c r="Q3" s="19"/>
      <c r="R3" s="19"/>
      <c r="S3" s="19"/>
      <c r="T3" s="19"/>
      <c r="U3" s="19"/>
      <c r="V3" s="19"/>
      <c r="W3" s="19"/>
      <c r="X3" s="20"/>
    </row>
    <row r="4" spans="1:32" s="21" customFormat="1" ht="15" customHeight="1">
      <c r="A4" s="729" t="s">
        <v>85</v>
      </c>
      <c r="B4" s="731" t="s">
        <v>86</v>
      </c>
      <c r="C4" s="751" t="s">
        <v>87</v>
      </c>
      <c r="D4" s="751"/>
      <c r="E4" s="751"/>
      <c r="F4" s="752" t="s">
        <v>88</v>
      </c>
      <c r="G4" s="751" t="s">
        <v>89</v>
      </c>
      <c r="H4" s="751"/>
      <c r="I4" s="754"/>
      <c r="J4" s="745" t="s">
        <v>90</v>
      </c>
      <c r="K4" s="746"/>
      <c r="L4" s="747" t="s">
        <v>91</v>
      </c>
      <c r="M4" s="748"/>
      <c r="N4" s="748"/>
      <c r="R4" s="749" t="s">
        <v>92</v>
      </c>
      <c r="S4" s="739" t="s">
        <v>93</v>
      </c>
      <c r="T4" s="739" t="s">
        <v>94</v>
      </c>
      <c r="U4" s="739" t="s">
        <v>95</v>
      </c>
      <c r="V4" s="739" t="s">
        <v>96</v>
      </c>
      <c r="W4" s="741" t="s">
        <v>97</v>
      </c>
      <c r="X4" s="743" t="s">
        <v>98</v>
      </c>
    </row>
    <row r="5" spans="1:32" s="29" customFormat="1" ht="15" customHeight="1" thickBot="1">
      <c r="A5" s="730"/>
      <c r="B5" s="732"/>
      <c r="C5" s="23" t="s">
        <v>99</v>
      </c>
      <c r="D5" s="23" t="s">
        <v>100</v>
      </c>
      <c r="E5" s="23" t="s">
        <v>101</v>
      </c>
      <c r="F5" s="753"/>
      <c r="G5" s="23" t="s">
        <v>102</v>
      </c>
      <c r="H5" s="23" t="s">
        <v>86</v>
      </c>
      <c r="I5" s="24" t="s">
        <v>20</v>
      </c>
      <c r="J5" s="25" t="s">
        <v>103</v>
      </c>
      <c r="K5" s="26" t="s">
        <v>104</v>
      </c>
      <c r="L5" s="27" t="s">
        <v>102</v>
      </c>
      <c r="M5" s="28" t="s">
        <v>86</v>
      </c>
      <c r="N5" s="28" t="s">
        <v>20</v>
      </c>
      <c r="R5" s="750"/>
      <c r="S5" s="740"/>
      <c r="T5" s="740"/>
      <c r="U5" s="740"/>
      <c r="V5" s="740"/>
      <c r="W5" s="742"/>
      <c r="X5" s="743"/>
    </row>
    <row r="6" spans="1:32" s="58" customFormat="1" ht="15" customHeight="1">
      <c r="A6" s="713"/>
      <c r="B6" s="710" t="s">
        <v>105</v>
      </c>
      <c r="C6" s="683">
        <v>300</v>
      </c>
      <c r="D6" s="683">
        <v>560</v>
      </c>
      <c r="E6" s="683">
        <v>720</v>
      </c>
      <c r="F6" s="755">
        <v>1</v>
      </c>
      <c r="G6" s="69" t="s">
        <v>288</v>
      </c>
      <c r="H6" s="69" t="s">
        <v>289</v>
      </c>
      <c r="I6" s="70">
        <f>F6</f>
        <v>1</v>
      </c>
      <c r="J6" s="65" t="e">
        <f>I6*#REF!</f>
        <v>#REF!</v>
      </c>
      <c r="K6" s="55"/>
      <c r="L6" s="56"/>
      <c r="M6" s="56"/>
      <c r="N6" s="56"/>
      <c r="O6" s="56"/>
      <c r="P6" s="56"/>
      <c r="Q6" s="57" t="e">
        <f t="shared" ref="Q6:Q11" si="0">J6*560*720/1000000/0.9</f>
        <v>#REF!</v>
      </c>
      <c r="R6" s="57"/>
      <c r="S6" s="57"/>
    </row>
    <row r="7" spans="1:32" s="58" customFormat="1" ht="15" customHeight="1">
      <c r="A7" s="714"/>
      <c r="B7" s="711"/>
      <c r="C7" s="684"/>
      <c r="D7" s="684"/>
      <c r="E7" s="684"/>
      <c r="F7" s="756"/>
      <c r="G7" s="54" t="s">
        <v>112</v>
      </c>
      <c r="H7" s="54" t="s">
        <v>113</v>
      </c>
      <c r="I7" s="71">
        <f>F6</f>
        <v>1</v>
      </c>
      <c r="J7" s="65" t="e">
        <f>I7*#REF!</f>
        <v>#REF!</v>
      </c>
      <c r="K7" s="55"/>
      <c r="L7" s="56"/>
      <c r="M7" s="56"/>
      <c r="N7" s="56"/>
      <c r="O7" s="56"/>
      <c r="P7" s="56"/>
      <c r="Q7" s="57" t="e">
        <f t="shared" si="0"/>
        <v>#REF!</v>
      </c>
      <c r="R7" s="57"/>
      <c r="S7" s="57"/>
    </row>
    <row r="8" spans="1:32" s="58" customFormat="1" ht="15" customHeight="1">
      <c r="A8" s="714"/>
      <c r="B8" s="711"/>
      <c r="C8" s="684"/>
      <c r="D8" s="684"/>
      <c r="E8" s="684"/>
      <c r="F8" s="756"/>
      <c r="G8" s="54" t="s">
        <v>215</v>
      </c>
      <c r="H8" s="54" t="s">
        <v>216</v>
      </c>
      <c r="I8" s="71">
        <f>F6</f>
        <v>1</v>
      </c>
      <c r="J8" s="65" t="e">
        <f>I8*#REF!</f>
        <v>#REF!</v>
      </c>
      <c r="K8" s="55"/>
      <c r="L8" s="56"/>
      <c r="M8" s="56"/>
      <c r="N8" s="56"/>
      <c r="O8" s="56"/>
      <c r="P8" s="56"/>
      <c r="Q8" s="57" t="e">
        <f t="shared" si="0"/>
        <v>#REF!</v>
      </c>
      <c r="R8" s="57"/>
      <c r="S8" s="57"/>
    </row>
    <row r="9" spans="1:32" s="58" customFormat="1" ht="15" customHeight="1">
      <c r="A9" s="714"/>
      <c r="B9" s="711"/>
      <c r="C9" s="684"/>
      <c r="D9" s="684"/>
      <c r="E9" s="684"/>
      <c r="F9" s="756"/>
      <c r="G9" s="54" t="s">
        <v>290</v>
      </c>
      <c r="H9" s="54" t="s">
        <v>291</v>
      </c>
      <c r="I9" s="71">
        <f>F6</f>
        <v>1</v>
      </c>
      <c r="J9" s="65" t="e">
        <f>I9*#REF!</f>
        <v>#REF!</v>
      </c>
      <c r="K9" s="55"/>
      <c r="L9" s="56"/>
      <c r="M9" s="56"/>
      <c r="N9" s="56"/>
      <c r="O9" s="56"/>
      <c r="P9" s="56"/>
      <c r="Q9" s="57" t="e">
        <f t="shared" si="0"/>
        <v>#REF!</v>
      </c>
      <c r="R9" s="57"/>
      <c r="S9" s="57"/>
    </row>
    <row r="10" spans="1:32" s="58" customFormat="1" ht="15" customHeight="1">
      <c r="A10" s="714"/>
      <c r="B10" s="711"/>
      <c r="C10" s="684"/>
      <c r="D10" s="684"/>
      <c r="E10" s="684"/>
      <c r="F10" s="756"/>
      <c r="G10" s="54" t="s">
        <v>219</v>
      </c>
      <c r="H10" s="54" t="s">
        <v>220</v>
      </c>
      <c r="I10" s="71">
        <f>F6</f>
        <v>1</v>
      </c>
      <c r="J10" s="65" t="e">
        <f>I10*#REF!</f>
        <v>#REF!</v>
      </c>
      <c r="K10" s="55"/>
      <c r="L10" s="56"/>
      <c r="M10" s="56"/>
      <c r="N10" s="56"/>
      <c r="O10" s="56"/>
      <c r="P10" s="56"/>
      <c r="Q10" s="57" t="e">
        <f t="shared" si="0"/>
        <v>#REF!</v>
      </c>
      <c r="R10" s="57"/>
      <c r="S10" s="57"/>
    </row>
    <row r="11" spans="1:32" s="58" customFormat="1" ht="15" customHeight="1" thickBot="1">
      <c r="A11" s="714"/>
      <c r="B11" s="711"/>
      <c r="C11" s="685"/>
      <c r="D11" s="685"/>
      <c r="E11" s="685"/>
      <c r="F11" s="756"/>
      <c r="G11" s="54" t="s">
        <v>223</v>
      </c>
      <c r="H11" s="54" t="s">
        <v>224</v>
      </c>
      <c r="I11" s="71">
        <f>F6*2</f>
        <v>2</v>
      </c>
      <c r="J11" s="65" t="e">
        <f>I11*#REF!</f>
        <v>#REF!</v>
      </c>
      <c r="K11" s="55"/>
      <c r="L11" s="56"/>
      <c r="M11" s="56"/>
      <c r="N11" s="56"/>
      <c r="O11" s="56"/>
      <c r="P11" s="56"/>
      <c r="Q11" s="57" t="e">
        <f t="shared" si="0"/>
        <v>#REF!</v>
      </c>
      <c r="R11" s="57"/>
      <c r="S11" s="57"/>
    </row>
    <row r="12" spans="1:32" s="21" customFormat="1" ht="15" customHeight="1">
      <c r="A12" s="714"/>
      <c r="B12" s="711"/>
      <c r="C12" s="683">
        <v>450</v>
      </c>
      <c r="D12" s="683">
        <v>560</v>
      </c>
      <c r="E12" s="683">
        <v>720</v>
      </c>
      <c r="F12" s="683">
        <v>1</v>
      </c>
      <c r="G12" s="30" t="s">
        <v>106</v>
      </c>
      <c r="H12" s="30" t="s">
        <v>107</v>
      </c>
      <c r="I12" s="31">
        <f>F12</f>
        <v>1</v>
      </c>
      <c r="J12" s="744">
        <v>35</v>
      </c>
      <c r="K12" s="32">
        <f>I12*J12</f>
        <v>35</v>
      </c>
      <c r="L12" s="33" t="s">
        <v>108</v>
      </c>
      <c r="M12" s="34" t="s">
        <v>109</v>
      </c>
      <c r="N12" s="34">
        <v>1</v>
      </c>
      <c r="O12" s="35" t="s">
        <v>110</v>
      </c>
      <c r="P12" s="35" t="s">
        <v>111</v>
      </c>
      <c r="Q12" s="36">
        <v>24</v>
      </c>
      <c r="R12" s="37">
        <f>K12*560*720/1000000/0.9</f>
        <v>15.68</v>
      </c>
      <c r="S12" s="38">
        <f>K12*((560+720)*2+40)/1000</f>
        <v>91</v>
      </c>
      <c r="T12" s="38">
        <f>S12-U12</f>
        <v>25.200000000000003</v>
      </c>
      <c r="U12" s="38">
        <f>S12-0.72*K12</f>
        <v>65.8</v>
      </c>
      <c r="V12" s="698">
        <f>J12*11</f>
        <v>385</v>
      </c>
      <c r="W12" s="39">
        <f>K12*560*720*16/1000000000</f>
        <v>0.22579199999999999</v>
      </c>
      <c r="X12" s="20">
        <v>0</v>
      </c>
    </row>
    <row r="13" spans="1:32" s="21" customFormat="1" ht="15" customHeight="1">
      <c r="A13" s="714"/>
      <c r="B13" s="711"/>
      <c r="C13" s="684"/>
      <c r="D13" s="684"/>
      <c r="E13" s="684"/>
      <c r="F13" s="684"/>
      <c r="G13" s="34" t="s">
        <v>112</v>
      </c>
      <c r="H13" s="34" t="s">
        <v>113</v>
      </c>
      <c r="I13" s="40">
        <f>F12</f>
        <v>1</v>
      </c>
      <c r="J13" s="696"/>
      <c r="K13" s="32">
        <f>I13*J12</f>
        <v>35</v>
      </c>
      <c r="L13" s="33" t="s">
        <v>114</v>
      </c>
      <c r="M13" s="34" t="s">
        <v>115</v>
      </c>
      <c r="N13" s="34">
        <v>1</v>
      </c>
      <c r="O13" s="35" t="s">
        <v>116</v>
      </c>
      <c r="P13" s="35" t="s">
        <v>111</v>
      </c>
      <c r="Q13" s="36">
        <v>24</v>
      </c>
      <c r="R13" s="37">
        <f>K13*560*720/1000000/0.9</f>
        <v>15.68</v>
      </c>
      <c r="S13" s="38">
        <f t="shared" ref="S13:S56" si="1">K13*((560+720)*2+40)/1000</f>
        <v>91</v>
      </c>
      <c r="T13" s="38">
        <f t="shared" ref="T13:T99" si="2">S13-U13</f>
        <v>25.200000000000003</v>
      </c>
      <c r="U13" s="38">
        <f t="shared" ref="U13:U94" si="3">S13-0.72*K13</f>
        <v>65.8</v>
      </c>
      <c r="V13" s="699"/>
      <c r="W13" s="39">
        <f t="shared" ref="W13:W56" si="4">K13*560*720*16/1000000000</f>
        <v>0.22579199999999999</v>
      </c>
      <c r="X13" s="41">
        <v>0</v>
      </c>
      <c r="AB13" s="42" t="s">
        <v>117</v>
      </c>
      <c r="AC13" s="18" t="s">
        <v>111</v>
      </c>
      <c r="AD13" s="18">
        <v>147</v>
      </c>
      <c r="AE13" s="21">
        <f>AD13/AF13</f>
        <v>36.75</v>
      </c>
      <c r="AF13" s="21">
        <v>4</v>
      </c>
    </row>
    <row r="14" spans="1:32" ht="15" customHeight="1">
      <c r="A14" s="714"/>
      <c r="B14" s="711"/>
      <c r="C14" s="684"/>
      <c r="D14" s="684"/>
      <c r="E14" s="684"/>
      <c r="F14" s="684"/>
      <c r="G14" s="34" t="s">
        <v>118</v>
      </c>
      <c r="H14" s="34" t="s">
        <v>119</v>
      </c>
      <c r="I14" s="40">
        <f>F12</f>
        <v>1</v>
      </c>
      <c r="J14" s="696"/>
      <c r="K14" s="32">
        <f>I14*J12</f>
        <v>35</v>
      </c>
      <c r="L14" s="33" t="s">
        <v>120</v>
      </c>
      <c r="M14" s="34" t="s">
        <v>121</v>
      </c>
      <c r="N14" s="34">
        <v>1</v>
      </c>
      <c r="O14" s="35" t="s">
        <v>122</v>
      </c>
      <c r="P14" s="35" t="s">
        <v>111</v>
      </c>
      <c r="Q14" s="36">
        <v>20</v>
      </c>
      <c r="R14" s="37">
        <f>K14*560*417/1000000/0.9</f>
        <v>9.0813333333333333</v>
      </c>
      <c r="S14" s="38">
        <f>K14*((560+417)*2+40)/1000</f>
        <v>69.790000000000006</v>
      </c>
      <c r="T14" s="38">
        <f t="shared" si="2"/>
        <v>14.594999999999999</v>
      </c>
      <c r="U14" s="38">
        <f>S14-0.417*K14</f>
        <v>55.195000000000007</v>
      </c>
      <c r="V14" s="699"/>
      <c r="W14" s="39">
        <f>K14*560*417*16/1000000000</f>
        <v>0.1307712</v>
      </c>
      <c r="X14" s="43">
        <v>1</v>
      </c>
      <c r="Y14" s="21"/>
      <c r="Z14" s="21"/>
      <c r="AB14" s="42" t="s">
        <v>123</v>
      </c>
      <c r="AC14" s="18" t="s">
        <v>111</v>
      </c>
      <c r="AD14" s="18">
        <v>142</v>
      </c>
      <c r="AE14" s="21">
        <f t="shared" ref="AE14:AE28" si="5">AD14/AF14</f>
        <v>35.5</v>
      </c>
      <c r="AF14" s="21">
        <v>4</v>
      </c>
    </row>
    <row r="15" spans="1:32" ht="15" customHeight="1">
      <c r="A15" s="714"/>
      <c r="B15" s="711"/>
      <c r="C15" s="684"/>
      <c r="D15" s="684"/>
      <c r="E15" s="684"/>
      <c r="F15" s="684"/>
      <c r="G15" s="34" t="s">
        <v>124</v>
      </c>
      <c r="H15" s="34" t="s">
        <v>125</v>
      </c>
      <c r="I15" s="40">
        <f>F12</f>
        <v>1</v>
      </c>
      <c r="J15" s="696"/>
      <c r="K15" s="32">
        <f>I15*J12</f>
        <v>35</v>
      </c>
      <c r="L15" s="33" t="s">
        <v>126</v>
      </c>
      <c r="M15" s="34" t="s">
        <v>127</v>
      </c>
      <c r="N15" s="34">
        <v>1</v>
      </c>
      <c r="O15" s="35"/>
      <c r="P15" s="35"/>
      <c r="Q15" s="36"/>
      <c r="R15" s="37">
        <f>K15*514*416/1000000/0.9</f>
        <v>8.315377777777778</v>
      </c>
      <c r="S15" s="38">
        <f>K15*((514+416)*2+40)/1000</f>
        <v>66.5</v>
      </c>
      <c r="T15" s="38">
        <f t="shared" si="2"/>
        <v>14.560000000000002</v>
      </c>
      <c r="U15" s="38">
        <f>S15-0.416*K15</f>
        <v>51.94</v>
      </c>
      <c r="V15" s="699"/>
      <c r="W15" s="39">
        <f>K15*514*416*16/1000000000</f>
        <v>0.11974144</v>
      </c>
      <c r="X15" s="43">
        <v>0</v>
      </c>
      <c r="Y15" s="21"/>
      <c r="Z15" s="21"/>
      <c r="AB15" s="42" t="s">
        <v>128</v>
      </c>
      <c r="AC15" s="18" t="s">
        <v>111</v>
      </c>
      <c r="AD15" s="18">
        <v>140</v>
      </c>
      <c r="AE15" s="21">
        <f t="shared" si="5"/>
        <v>35</v>
      </c>
      <c r="AF15" s="21">
        <v>4</v>
      </c>
    </row>
    <row r="16" spans="1:32" ht="15" customHeight="1">
      <c r="A16" s="714"/>
      <c r="B16" s="711"/>
      <c r="C16" s="684"/>
      <c r="D16" s="684"/>
      <c r="E16" s="684"/>
      <c r="F16" s="684"/>
      <c r="G16" s="34" t="s">
        <v>129</v>
      </c>
      <c r="H16" s="34" t="s">
        <v>130</v>
      </c>
      <c r="I16" s="40">
        <f>F12</f>
        <v>1</v>
      </c>
      <c r="J16" s="696"/>
      <c r="K16" s="32">
        <f>I16*J12</f>
        <v>35</v>
      </c>
      <c r="L16" s="33" t="s">
        <v>131</v>
      </c>
      <c r="M16" s="34" t="s">
        <v>132</v>
      </c>
      <c r="N16" s="34">
        <v>1</v>
      </c>
      <c r="O16" s="35"/>
      <c r="P16" s="35"/>
      <c r="Q16" s="36"/>
      <c r="R16" s="37">
        <f>K16*708*428/1000000/0.9</f>
        <v>11.784266666666667</v>
      </c>
      <c r="S16" s="38"/>
      <c r="T16" s="38"/>
      <c r="U16" s="38"/>
      <c r="V16" s="699"/>
      <c r="W16" s="39">
        <f>K16*708*428*3/1000000000</f>
        <v>3.1817520000000002E-2</v>
      </c>
      <c r="X16" s="43">
        <v>1</v>
      </c>
      <c r="Y16" s="21"/>
      <c r="Z16" s="21"/>
      <c r="AB16" s="42" t="s">
        <v>133</v>
      </c>
      <c r="AC16" s="18" t="s">
        <v>111</v>
      </c>
      <c r="AD16" s="18">
        <v>136</v>
      </c>
      <c r="AE16" s="21">
        <f t="shared" si="5"/>
        <v>34</v>
      </c>
      <c r="AF16" s="21">
        <v>4</v>
      </c>
    </row>
    <row r="17" spans="1:32" ht="15" customHeight="1" thickBot="1">
      <c r="A17" s="714"/>
      <c r="B17" s="711"/>
      <c r="C17" s="685"/>
      <c r="D17" s="685"/>
      <c r="E17" s="685"/>
      <c r="F17" s="685"/>
      <c r="G17" s="45" t="s">
        <v>134</v>
      </c>
      <c r="H17" s="45" t="s">
        <v>135</v>
      </c>
      <c r="I17" s="46">
        <f>F12*2</f>
        <v>2</v>
      </c>
      <c r="J17" s="697"/>
      <c r="K17" s="47">
        <f>I17*J12</f>
        <v>70</v>
      </c>
      <c r="L17" s="33" t="s">
        <v>136</v>
      </c>
      <c r="M17" s="34" t="s">
        <v>137</v>
      </c>
      <c r="N17" s="34">
        <v>2</v>
      </c>
      <c r="O17" s="35"/>
      <c r="P17" s="35"/>
      <c r="Q17" s="36"/>
      <c r="R17" s="37">
        <f>K17*88*417/1000000/0.9</f>
        <v>2.854133333333333</v>
      </c>
      <c r="S17" s="38">
        <f>K17*((88+417)+10)/1000</f>
        <v>36.049999999999997</v>
      </c>
      <c r="T17" s="38">
        <f t="shared" si="2"/>
        <v>29.189999999999998</v>
      </c>
      <c r="U17" s="38">
        <f>S17-0.417*K17</f>
        <v>6.8599999999999994</v>
      </c>
      <c r="V17" s="700"/>
      <c r="W17" s="39">
        <f>K17*88*417*16/1000000000</f>
        <v>4.109952E-2</v>
      </c>
      <c r="X17" s="43">
        <v>1</v>
      </c>
      <c r="Y17" s="21"/>
      <c r="Z17" s="21"/>
      <c r="AB17" s="42" t="s">
        <v>138</v>
      </c>
      <c r="AC17" s="18" t="s">
        <v>111</v>
      </c>
      <c r="AD17" s="18">
        <v>117</v>
      </c>
      <c r="AE17" s="21">
        <f t="shared" si="5"/>
        <v>29.25</v>
      </c>
      <c r="AF17" s="21">
        <v>4</v>
      </c>
    </row>
    <row r="18" spans="1:32" customFormat="1" ht="15" customHeight="1">
      <c r="A18" s="714"/>
      <c r="B18" s="711"/>
      <c r="C18" s="723">
        <v>600</v>
      </c>
      <c r="D18" s="723">
        <v>560</v>
      </c>
      <c r="E18" s="723">
        <v>720</v>
      </c>
      <c r="F18" s="709">
        <v>1</v>
      </c>
      <c r="G18" s="54" t="s">
        <v>288</v>
      </c>
      <c r="H18" s="54" t="s">
        <v>289</v>
      </c>
      <c r="I18" s="71">
        <f>F18</f>
        <v>1</v>
      </c>
      <c r="J18" s="66" t="e">
        <f>I18*#REF!</f>
        <v>#REF!</v>
      </c>
      <c r="K18" s="55"/>
      <c r="L18" s="1"/>
      <c r="M18" s="1"/>
      <c r="N18" s="1"/>
      <c r="O18" s="1"/>
      <c r="P18" s="1"/>
      <c r="Q18" s="57" t="e">
        <f>J18*560*720/1000000/0.9</f>
        <v>#REF!</v>
      </c>
      <c r="R18" s="57"/>
      <c r="S18" s="57"/>
      <c r="T18" s="43">
        <v>1</v>
      </c>
    </row>
    <row r="19" spans="1:32" customFormat="1" ht="15" customHeight="1">
      <c r="A19" s="714"/>
      <c r="B19" s="711"/>
      <c r="C19" s="724"/>
      <c r="D19" s="724"/>
      <c r="E19" s="724"/>
      <c r="F19" s="709"/>
      <c r="G19" s="54" t="s">
        <v>112</v>
      </c>
      <c r="H19" s="54" t="s">
        <v>113</v>
      </c>
      <c r="I19" s="71">
        <f>F18</f>
        <v>1</v>
      </c>
      <c r="J19" s="66" t="e">
        <f>I19*#REF!</f>
        <v>#REF!</v>
      </c>
      <c r="K19" s="55"/>
      <c r="L19" s="1"/>
      <c r="M19" s="1"/>
      <c r="N19" s="1"/>
      <c r="O19" s="1"/>
      <c r="P19" s="1"/>
      <c r="Q19" s="57" t="e">
        <f>J19*560*720/1000000/0.9</f>
        <v>#REF!</v>
      </c>
      <c r="R19" s="57"/>
      <c r="S19" s="57"/>
      <c r="T19" s="43">
        <v>1</v>
      </c>
    </row>
    <row r="20" spans="1:32" customFormat="1" ht="15" customHeight="1">
      <c r="A20" s="714"/>
      <c r="B20" s="711"/>
      <c r="C20" s="724"/>
      <c r="D20" s="724"/>
      <c r="E20" s="724"/>
      <c r="F20" s="709"/>
      <c r="G20" s="54" t="s">
        <v>150</v>
      </c>
      <c r="H20" s="54" t="s">
        <v>151</v>
      </c>
      <c r="I20" s="71">
        <f>F18</f>
        <v>1</v>
      </c>
      <c r="J20" s="66" t="e">
        <f>I20*#REF!</f>
        <v>#REF!</v>
      </c>
      <c r="K20" s="55"/>
      <c r="L20" s="1"/>
      <c r="M20" s="1"/>
      <c r="N20" s="1"/>
      <c r="O20" s="1"/>
      <c r="P20" s="1"/>
      <c r="Q20" s="57" t="e">
        <f>J20*560*567/1000000/0.9</f>
        <v>#REF!</v>
      </c>
      <c r="R20" s="57"/>
      <c r="S20" s="57"/>
      <c r="T20" s="43">
        <v>0</v>
      </c>
    </row>
    <row r="21" spans="1:32" customFormat="1" ht="15" customHeight="1">
      <c r="A21" s="714"/>
      <c r="B21" s="711"/>
      <c r="C21" s="724"/>
      <c r="D21" s="724"/>
      <c r="E21" s="724"/>
      <c r="F21" s="709"/>
      <c r="G21" s="54" t="s">
        <v>292</v>
      </c>
      <c r="H21" s="54" t="s">
        <v>293</v>
      </c>
      <c r="I21" s="71">
        <f>F18</f>
        <v>1</v>
      </c>
      <c r="J21" s="66" t="e">
        <f>I21*#REF!</f>
        <v>#REF!</v>
      </c>
      <c r="K21" s="55"/>
      <c r="L21" s="1"/>
      <c r="M21" s="1"/>
      <c r="N21" s="1"/>
      <c r="O21" s="1"/>
      <c r="P21" s="1"/>
      <c r="Q21" s="57" t="e">
        <f>J21*514*566/1000000/0.9</f>
        <v>#REF!</v>
      </c>
      <c r="R21" s="57"/>
      <c r="S21" s="57"/>
      <c r="T21" s="43">
        <v>0</v>
      </c>
    </row>
    <row r="22" spans="1:32" customFormat="1" ht="15" customHeight="1">
      <c r="A22" s="714"/>
      <c r="B22" s="711"/>
      <c r="C22" s="724"/>
      <c r="D22" s="724"/>
      <c r="E22" s="724"/>
      <c r="F22" s="709"/>
      <c r="G22" s="54" t="s">
        <v>154</v>
      </c>
      <c r="H22" s="54" t="s">
        <v>155</v>
      </c>
      <c r="I22" s="71">
        <f>F18</f>
        <v>1</v>
      </c>
      <c r="J22" s="66" t="e">
        <f>I22*#REF!</f>
        <v>#REF!</v>
      </c>
      <c r="K22" s="55"/>
      <c r="L22" s="1"/>
      <c r="M22" s="1"/>
      <c r="N22" s="1"/>
      <c r="O22" s="1"/>
      <c r="P22" s="1"/>
      <c r="Q22" s="57" t="e">
        <f>J22*708*578/1000000/0.9</f>
        <v>#REF!</v>
      </c>
      <c r="R22" s="57"/>
      <c r="S22" s="57"/>
      <c r="T22" s="43">
        <v>0</v>
      </c>
    </row>
    <row r="23" spans="1:32" customFormat="1" ht="15" customHeight="1" thickBot="1">
      <c r="A23" s="715"/>
      <c r="B23" s="712"/>
      <c r="C23" s="725"/>
      <c r="D23" s="725"/>
      <c r="E23" s="725"/>
      <c r="F23" s="709"/>
      <c r="G23" s="54" t="s">
        <v>158</v>
      </c>
      <c r="H23" s="54" t="s">
        <v>159</v>
      </c>
      <c r="I23" s="71">
        <f>F18*2</f>
        <v>2</v>
      </c>
      <c r="J23" s="66" t="e">
        <f>I23*#REF!</f>
        <v>#REF!</v>
      </c>
      <c r="K23" s="55"/>
      <c r="L23" s="1"/>
      <c r="M23" s="1"/>
      <c r="N23" s="1"/>
      <c r="O23" s="1"/>
      <c r="P23" s="1"/>
      <c r="Q23" s="57" t="e">
        <f>J23*88*567/1000000/0.9</f>
        <v>#REF!</v>
      </c>
      <c r="R23" s="57" t="e">
        <f t="shared" ref="R23" si="6">J23*((88+417)+10)/1000</f>
        <v>#REF!</v>
      </c>
      <c r="S23" s="57" t="e">
        <f t="shared" ref="S23" si="7">J23*88*417*16/1000000000</f>
        <v>#REF!</v>
      </c>
      <c r="T23" s="43">
        <v>1</v>
      </c>
    </row>
    <row r="24" spans="1:32" ht="15" customHeight="1">
      <c r="A24" s="701"/>
      <c r="B24" s="704" t="s">
        <v>139</v>
      </c>
      <c r="C24" s="683">
        <v>450</v>
      </c>
      <c r="D24" s="683">
        <v>560</v>
      </c>
      <c r="E24" s="683">
        <v>720</v>
      </c>
      <c r="F24" s="683">
        <v>1</v>
      </c>
      <c r="G24" s="30" t="s">
        <v>140</v>
      </c>
      <c r="H24" s="30" t="s">
        <v>141</v>
      </c>
      <c r="I24" s="31">
        <f>F24</f>
        <v>1</v>
      </c>
      <c r="J24" s="695">
        <v>25</v>
      </c>
      <c r="K24" s="32">
        <f>I24*J24</f>
        <v>25</v>
      </c>
      <c r="L24" s="33" t="s">
        <v>142</v>
      </c>
      <c r="M24" s="34" t="s">
        <v>143</v>
      </c>
      <c r="N24" s="34">
        <v>1</v>
      </c>
      <c r="R24" s="37">
        <f>K24*560*720/1000000/0.9</f>
        <v>11.2</v>
      </c>
      <c r="S24" s="38">
        <f t="shared" si="1"/>
        <v>65</v>
      </c>
      <c r="T24" s="38">
        <f t="shared" si="2"/>
        <v>18</v>
      </c>
      <c r="U24" s="38">
        <f>S24-0.72*K24</f>
        <v>47</v>
      </c>
      <c r="V24" s="698">
        <f>J24*13</f>
        <v>325</v>
      </c>
      <c r="W24" s="39">
        <f t="shared" si="4"/>
        <v>0.16128000000000001</v>
      </c>
      <c r="X24" s="43">
        <v>1</v>
      </c>
      <c r="Y24" s="21"/>
      <c r="Z24" s="21"/>
      <c r="AB24" s="42" t="s">
        <v>144</v>
      </c>
      <c r="AC24" s="18" t="s">
        <v>111</v>
      </c>
      <c r="AD24" s="18">
        <v>105</v>
      </c>
      <c r="AE24" s="21">
        <f t="shared" si="5"/>
        <v>26.25</v>
      </c>
      <c r="AF24" s="21">
        <v>4</v>
      </c>
    </row>
    <row r="25" spans="1:32" ht="15" customHeight="1">
      <c r="A25" s="702"/>
      <c r="B25" s="705"/>
      <c r="C25" s="684"/>
      <c r="D25" s="684"/>
      <c r="E25" s="684"/>
      <c r="F25" s="684"/>
      <c r="G25" s="34" t="s">
        <v>145</v>
      </c>
      <c r="H25" s="34" t="s">
        <v>146</v>
      </c>
      <c r="I25" s="40">
        <f>F24</f>
        <v>1</v>
      </c>
      <c r="J25" s="696"/>
      <c r="K25" s="32">
        <f>I25*J24</f>
        <v>25</v>
      </c>
      <c r="L25" s="33" t="s">
        <v>147</v>
      </c>
      <c r="M25" s="34" t="s">
        <v>148</v>
      </c>
      <c r="N25" s="34">
        <v>1</v>
      </c>
      <c r="R25" s="37">
        <f>K25*560*720/1000000/0.9</f>
        <v>11.2</v>
      </c>
      <c r="S25" s="38">
        <f t="shared" si="1"/>
        <v>65</v>
      </c>
      <c r="T25" s="38">
        <f t="shared" si="2"/>
        <v>18</v>
      </c>
      <c r="U25" s="38">
        <f t="shared" si="3"/>
        <v>47</v>
      </c>
      <c r="V25" s="699"/>
      <c r="W25" s="39">
        <f t="shared" si="4"/>
        <v>0.16128000000000001</v>
      </c>
      <c r="X25" s="43">
        <v>1</v>
      </c>
      <c r="Y25" s="21"/>
      <c r="Z25" s="21"/>
      <c r="AB25" s="42" t="s">
        <v>149</v>
      </c>
      <c r="AC25" s="18" t="s">
        <v>111</v>
      </c>
      <c r="AD25" s="18">
        <v>98</v>
      </c>
      <c r="AE25" s="21">
        <f t="shared" si="5"/>
        <v>24.5</v>
      </c>
      <c r="AF25" s="21">
        <v>4</v>
      </c>
    </row>
    <row r="26" spans="1:32" ht="15" customHeight="1">
      <c r="A26" s="702"/>
      <c r="B26" s="705"/>
      <c r="C26" s="684"/>
      <c r="D26" s="684"/>
      <c r="E26" s="684"/>
      <c r="F26" s="684"/>
      <c r="G26" s="34" t="s">
        <v>118</v>
      </c>
      <c r="H26" s="34" t="s">
        <v>119</v>
      </c>
      <c r="I26" s="40">
        <f>F24</f>
        <v>1</v>
      </c>
      <c r="J26" s="696"/>
      <c r="K26" s="32">
        <f>I26*J24</f>
        <v>25</v>
      </c>
      <c r="L26" s="33" t="s">
        <v>120</v>
      </c>
      <c r="M26" s="34" t="s">
        <v>121</v>
      </c>
      <c r="N26" s="34">
        <v>1</v>
      </c>
      <c r="R26" s="37">
        <f>K26*560*417/1000000/0.9</f>
        <v>6.4866666666666664</v>
      </c>
      <c r="S26" s="38">
        <f>K26*((560+417)*2+40)/1000</f>
        <v>49.85</v>
      </c>
      <c r="T26" s="38">
        <f t="shared" si="2"/>
        <v>10.424999999999997</v>
      </c>
      <c r="U26" s="38">
        <f>S26-0.417*K26</f>
        <v>39.425000000000004</v>
      </c>
      <c r="V26" s="699"/>
      <c r="W26" s="39">
        <f>K26*560*417*16/1000000000</f>
        <v>9.3408000000000005E-2</v>
      </c>
      <c r="X26" s="43">
        <v>1</v>
      </c>
      <c r="Y26" s="21"/>
      <c r="Z26" s="21"/>
      <c r="AB26" s="42" t="s">
        <v>110</v>
      </c>
      <c r="AC26" s="18" t="s">
        <v>111</v>
      </c>
      <c r="AD26" s="18">
        <v>97</v>
      </c>
      <c r="AE26" s="21">
        <f t="shared" si="5"/>
        <v>24.25</v>
      </c>
      <c r="AF26" s="21">
        <v>4</v>
      </c>
    </row>
    <row r="27" spans="1:32" ht="15" customHeight="1">
      <c r="A27" s="702"/>
      <c r="B27" s="705"/>
      <c r="C27" s="684"/>
      <c r="D27" s="684"/>
      <c r="E27" s="684"/>
      <c r="F27" s="684"/>
      <c r="G27" s="34" t="s">
        <v>129</v>
      </c>
      <c r="H27" s="34" t="s">
        <v>130</v>
      </c>
      <c r="I27" s="40">
        <f>F24</f>
        <v>1</v>
      </c>
      <c r="J27" s="696"/>
      <c r="K27" s="32">
        <f>I27*J24</f>
        <v>25</v>
      </c>
      <c r="L27" s="33" t="s">
        <v>131</v>
      </c>
      <c r="M27" s="34" t="s">
        <v>132</v>
      </c>
      <c r="N27" s="34">
        <v>1</v>
      </c>
      <c r="R27" s="37">
        <f>K27*708*428/1000000/0.9</f>
        <v>8.4173333333333336</v>
      </c>
      <c r="S27" s="38"/>
      <c r="T27" s="38"/>
      <c r="U27" s="38"/>
      <c r="V27" s="699"/>
      <c r="W27" s="39">
        <f>K27*560*428*3/1000000000</f>
        <v>1.7975999999999999E-2</v>
      </c>
      <c r="X27" s="43">
        <v>1</v>
      </c>
      <c r="Y27" s="21"/>
      <c r="Z27" s="21"/>
      <c r="AB27" s="42" t="s">
        <v>116</v>
      </c>
      <c r="AC27" s="18" t="s">
        <v>111</v>
      </c>
      <c r="AD27" s="18">
        <v>97</v>
      </c>
      <c r="AE27" s="21">
        <f t="shared" si="5"/>
        <v>24.25</v>
      </c>
      <c r="AF27" s="21">
        <v>4</v>
      </c>
    </row>
    <row r="28" spans="1:32" ht="15" customHeight="1" thickBot="1">
      <c r="A28" s="702"/>
      <c r="B28" s="705"/>
      <c r="C28" s="685"/>
      <c r="D28" s="685"/>
      <c r="E28" s="685"/>
      <c r="F28" s="685"/>
      <c r="G28" s="45" t="s">
        <v>134</v>
      </c>
      <c r="H28" s="45" t="s">
        <v>135</v>
      </c>
      <c r="I28" s="46">
        <f>F24*3</f>
        <v>3</v>
      </c>
      <c r="J28" s="697"/>
      <c r="K28" s="47">
        <f>I28*J24</f>
        <v>75</v>
      </c>
      <c r="L28" s="33" t="s">
        <v>136</v>
      </c>
      <c r="M28" s="34" t="s">
        <v>137</v>
      </c>
      <c r="N28" s="34">
        <v>3</v>
      </c>
      <c r="R28" s="37">
        <f>K28*88*417/1000000/0.9</f>
        <v>3.0580000000000003</v>
      </c>
      <c r="S28" s="38">
        <f>K28*((560+720)+10)/1000</f>
        <v>96.75</v>
      </c>
      <c r="T28" s="38">
        <f t="shared" si="2"/>
        <v>31.275000000000006</v>
      </c>
      <c r="U28" s="38">
        <f>S28-0.417*K28</f>
        <v>65.474999999999994</v>
      </c>
      <c r="V28" s="700"/>
      <c r="W28" s="39">
        <f t="shared" si="4"/>
        <v>0.48383999999999999</v>
      </c>
      <c r="X28" s="43">
        <v>1</v>
      </c>
      <c r="Y28" s="21"/>
      <c r="Z28" s="21"/>
      <c r="AB28" s="42" t="s">
        <v>122</v>
      </c>
      <c r="AC28" s="18" t="s">
        <v>111</v>
      </c>
      <c r="AD28" s="18">
        <v>80</v>
      </c>
      <c r="AE28" s="21">
        <f t="shared" si="5"/>
        <v>20</v>
      </c>
      <c r="AF28" s="21">
        <v>4</v>
      </c>
    </row>
    <row r="29" spans="1:32" ht="15" customHeight="1">
      <c r="A29" s="702"/>
      <c r="B29" s="705"/>
      <c r="C29" s="684">
        <v>600</v>
      </c>
      <c r="D29" s="684">
        <v>560</v>
      </c>
      <c r="E29" s="684">
        <v>720</v>
      </c>
      <c r="F29" s="684">
        <v>1</v>
      </c>
      <c r="G29" s="77" t="s">
        <v>140</v>
      </c>
      <c r="H29" s="77" t="s">
        <v>141</v>
      </c>
      <c r="I29" s="78">
        <f>F29</f>
        <v>1</v>
      </c>
      <c r="J29" s="695">
        <v>25</v>
      </c>
      <c r="K29" s="32">
        <f>I29*J29</f>
        <v>25</v>
      </c>
      <c r="L29" s="33" t="s">
        <v>142</v>
      </c>
      <c r="M29" s="34" t="s">
        <v>143</v>
      </c>
      <c r="N29" s="34">
        <v>1</v>
      </c>
      <c r="R29" s="37">
        <f>K29*560*720/1000000/0.9</f>
        <v>11.2</v>
      </c>
      <c r="S29" s="38">
        <f t="shared" si="1"/>
        <v>65</v>
      </c>
      <c r="T29" s="38">
        <f t="shared" si="2"/>
        <v>18</v>
      </c>
      <c r="U29" s="38">
        <f t="shared" si="3"/>
        <v>47</v>
      </c>
      <c r="V29" s="698">
        <f>J29*13</f>
        <v>325</v>
      </c>
      <c r="W29" s="39">
        <f t="shared" si="4"/>
        <v>0.16128000000000001</v>
      </c>
      <c r="X29" s="43">
        <v>1</v>
      </c>
      <c r="Y29" s="21"/>
      <c r="Z29" s="21"/>
    </row>
    <row r="30" spans="1:32" ht="15" customHeight="1">
      <c r="A30" s="702"/>
      <c r="B30" s="705"/>
      <c r="C30" s="684"/>
      <c r="D30" s="684"/>
      <c r="E30" s="684"/>
      <c r="F30" s="684"/>
      <c r="G30" s="34" t="s">
        <v>145</v>
      </c>
      <c r="H30" s="34" t="s">
        <v>146</v>
      </c>
      <c r="I30" s="40">
        <f>F29</f>
        <v>1</v>
      </c>
      <c r="J30" s="696"/>
      <c r="K30" s="32">
        <f>I30*J29</f>
        <v>25</v>
      </c>
      <c r="L30" s="33" t="s">
        <v>147</v>
      </c>
      <c r="M30" s="34" t="s">
        <v>148</v>
      </c>
      <c r="N30" s="34">
        <v>1</v>
      </c>
      <c r="R30" s="37">
        <f>K30*560*720/1000000/0.9</f>
        <v>11.2</v>
      </c>
      <c r="S30" s="38">
        <f t="shared" si="1"/>
        <v>65</v>
      </c>
      <c r="T30" s="38">
        <f t="shared" si="2"/>
        <v>18</v>
      </c>
      <c r="U30" s="38">
        <f t="shared" si="3"/>
        <v>47</v>
      </c>
      <c r="V30" s="699"/>
      <c r="W30" s="39">
        <f t="shared" si="4"/>
        <v>0.16128000000000001</v>
      </c>
      <c r="X30" s="43">
        <v>1</v>
      </c>
      <c r="Y30" s="21"/>
      <c r="Z30" s="21"/>
    </row>
    <row r="31" spans="1:32" ht="15" customHeight="1">
      <c r="A31" s="702"/>
      <c r="B31" s="705"/>
      <c r="C31" s="684"/>
      <c r="D31" s="684"/>
      <c r="E31" s="684"/>
      <c r="F31" s="684"/>
      <c r="G31" s="34" t="s">
        <v>150</v>
      </c>
      <c r="H31" s="34" t="s">
        <v>151</v>
      </c>
      <c r="I31" s="40">
        <f>F29</f>
        <v>1</v>
      </c>
      <c r="J31" s="696"/>
      <c r="K31" s="32">
        <f>I31*J29</f>
        <v>25</v>
      </c>
      <c r="L31" s="33" t="s">
        <v>152</v>
      </c>
      <c r="M31" s="34" t="s">
        <v>153</v>
      </c>
      <c r="N31" s="34">
        <v>1</v>
      </c>
      <c r="R31" s="37">
        <f>K31*560*567/1000000/0.9</f>
        <v>8.82</v>
      </c>
      <c r="S31" s="38">
        <f>K31*((560+567)*2+40)/1000</f>
        <v>57.35</v>
      </c>
      <c r="T31" s="38">
        <f t="shared" si="2"/>
        <v>14.174999999999997</v>
      </c>
      <c r="U31" s="38">
        <f>S31-0.567*K31</f>
        <v>43.175000000000004</v>
      </c>
      <c r="V31" s="699"/>
      <c r="W31" s="39">
        <f>K31*560*567*16/1000000000</f>
        <v>0.12700800000000001</v>
      </c>
      <c r="X31" s="43">
        <v>0</v>
      </c>
      <c r="Y31" s="21"/>
      <c r="Z31" s="21"/>
    </row>
    <row r="32" spans="1:32" ht="15" customHeight="1">
      <c r="A32" s="702"/>
      <c r="B32" s="705"/>
      <c r="C32" s="684"/>
      <c r="D32" s="684"/>
      <c r="E32" s="684"/>
      <c r="F32" s="684"/>
      <c r="G32" s="34" t="s">
        <v>154</v>
      </c>
      <c r="H32" s="34" t="s">
        <v>155</v>
      </c>
      <c r="I32" s="40">
        <f>F29</f>
        <v>1</v>
      </c>
      <c r="J32" s="696"/>
      <c r="K32" s="32">
        <f>I32*J29</f>
        <v>25</v>
      </c>
      <c r="L32" s="33" t="s">
        <v>156</v>
      </c>
      <c r="M32" s="34" t="s">
        <v>157</v>
      </c>
      <c r="N32" s="34">
        <v>1</v>
      </c>
      <c r="R32" s="37">
        <f>K32*708*578/1000000/0.9</f>
        <v>11.367333333333335</v>
      </c>
      <c r="S32" s="38"/>
      <c r="T32" s="38"/>
      <c r="U32" s="38"/>
      <c r="V32" s="699"/>
      <c r="W32" s="39">
        <f>K32*708*578*3/1000000000</f>
        <v>3.0691800000000002E-2</v>
      </c>
      <c r="X32" s="43">
        <v>0</v>
      </c>
      <c r="Y32" s="21"/>
      <c r="Z32" s="21"/>
    </row>
    <row r="33" spans="1:26" ht="15" customHeight="1" thickBot="1">
      <c r="A33" s="703"/>
      <c r="B33" s="706"/>
      <c r="C33" s="685"/>
      <c r="D33" s="685"/>
      <c r="E33" s="685"/>
      <c r="F33" s="685"/>
      <c r="G33" s="45" t="s">
        <v>158</v>
      </c>
      <c r="H33" s="45" t="s">
        <v>159</v>
      </c>
      <c r="I33" s="46">
        <f>F29*3</f>
        <v>3</v>
      </c>
      <c r="J33" s="697"/>
      <c r="K33" s="47">
        <f>I33*J29</f>
        <v>75</v>
      </c>
      <c r="L33" s="33" t="s">
        <v>160</v>
      </c>
      <c r="M33" s="34" t="s">
        <v>161</v>
      </c>
      <c r="N33" s="34">
        <v>3</v>
      </c>
      <c r="R33" s="37">
        <f>K33*88*567/1000000/0.9</f>
        <v>4.1579999999999995</v>
      </c>
      <c r="S33" s="38">
        <f>K33*((88+567)+10)/1000</f>
        <v>49.875</v>
      </c>
      <c r="T33" s="38">
        <f t="shared" si="2"/>
        <v>49.875</v>
      </c>
      <c r="U33" s="38"/>
      <c r="V33" s="700"/>
      <c r="W33" s="39">
        <f t="shared" si="4"/>
        <v>0.48383999999999999</v>
      </c>
      <c r="X33" s="43">
        <v>1</v>
      </c>
      <c r="Y33" s="21"/>
      <c r="Z33" s="21"/>
    </row>
    <row r="34" spans="1:26" customFormat="1" ht="15" customHeight="1">
      <c r="A34" s="701"/>
      <c r="B34" s="704" t="s">
        <v>294</v>
      </c>
      <c r="C34" s="683">
        <v>900</v>
      </c>
      <c r="D34" s="683">
        <v>560</v>
      </c>
      <c r="E34" s="683">
        <v>720</v>
      </c>
      <c r="F34" s="728">
        <v>1</v>
      </c>
      <c r="G34" s="69" t="s">
        <v>288</v>
      </c>
      <c r="H34" s="69" t="s">
        <v>289</v>
      </c>
      <c r="I34" s="70">
        <f>F34</f>
        <v>1</v>
      </c>
      <c r="J34" s="66" t="e">
        <f>I34*#REF!</f>
        <v>#REF!</v>
      </c>
      <c r="K34" s="55"/>
      <c r="L34" s="1"/>
      <c r="M34" s="1"/>
      <c r="N34" s="1"/>
      <c r="O34" s="1"/>
      <c r="P34" s="1"/>
      <c r="Q34" s="57" t="e">
        <f t="shared" ref="Q34:Q35" si="8">J34*560*720/1000000/0.9</f>
        <v>#REF!</v>
      </c>
      <c r="R34" s="57"/>
      <c r="S34" s="57"/>
      <c r="T34" s="43">
        <v>1</v>
      </c>
    </row>
    <row r="35" spans="1:26" customFormat="1" ht="15" customHeight="1">
      <c r="A35" s="702"/>
      <c r="B35" s="705"/>
      <c r="C35" s="684"/>
      <c r="D35" s="684"/>
      <c r="E35" s="684"/>
      <c r="F35" s="709"/>
      <c r="G35" s="54" t="s">
        <v>112</v>
      </c>
      <c r="H35" s="54" t="s">
        <v>113</v>
      </c>
      <c r="I35" s="71">
        <f>F34</f>
        <v>1</v>
      </c>
      <c r="J35" s="66" t="e">
        <f>I35*#REF!</f>
        <v>#REF!</v>
      </c>
      <c r="K35" s="55"/>
      <c r="L35" s="1"/>
      <c r="M35" s="1"/>
      <c r="N35" s="1"/>
      <c r="O35" s="1"/>
      <c r="P35" s="1"/>
      <c r="Q35" s="57" t="e">
        <f t="shared" si="8"/>
        <v>#REF!</v>
      </c>
      <c r="R35" s="57"/>
      <c r="S35" s="57"/>
      <c r="T35" s="43">
        <v>1</v>
      </c>
    </row>
    <row r="36" spans="1:26" customFormat="1" ht="15" customHeight="1">
      <c r="A36" s="702"/>
      <c r="B36" s="705"/>
      <c r="C36" s="684"/>
      <c r="D36" s="684"/>
      <c r="E36" s="684"/>
      <c r="F36" s="709"/>
      <c r="G36" s="54" t="s">
        <v>295</v>
      </c>
      <c r="H36" s="54" t="s">
        <v>296</v>
      </c>
      <c r="I36" s="71">
        <f>F34</f>
        <v>1</v>
      </c>
      <c r="J36" s="66" t="e">
        <f>I36*#REF!</f>
        <v>#REF!</v>
      </c>
      <c r="K36" s="55"/>
      <c r="L36" s="1"/>
      <c r="M36" s="1"/>
      <c r="N36" s="1"/>
      <c r="O36" s="1"/>
      <c r="P36" s="1"/>
      <c r="Q36" s="57" t="e">
        <f>J36*560*867/1000000/0.9</f>
        <v>#REF!</v>
      </c>
      <c r="R36" s="57"/>
      <c r="S36" s="57"/>
      <c r="T36" s="43">
        <v>1</v>
      </c>
    </row>
    <row r="37" spans="1:26" customFormat="1" ht="15" customHeight="1">
      <c r="A37" s="702"/>
      <c r="B37" s="705"/>
      <c r="C37" s="684"/>
      <c r="D37" s="684"/>
      <c r="E37" s="684"/>
      <c r="F37" s="709"/>
      <c r="G37" s="54" t="s">
        <v>297</v>
      </c>
      <c r="H37" s="54" t="s">
        <v>298</v>
      </c>
      <c r="I37" s="71">
        <f>F34</f>
        <v>1</v>
      </c>
      <c r="J37" s="66" t="e">
        <f>I37*#REF!</f>
        <v>#REF!</v>
      </c>
      <c r="K37" s="55"/>
      <c r="L37" s="1"/>
      <c r="M37" s="1"/>
      <c r="N37" s="1"/>
      <c r="O37" s="1"/>
      <c r="P37" s="1"/>
      <c r="Q37" s="57" t="e">
        <f>J37*514*866/1000000/0.9</f>
        <v>#REF!</v>
      </c>
      <c r="R37" s="57"/>
      <c r="S37" s="57"/>
      <c r="T37" s="43">
        <v>0</v>
      </c>
    </row>
    <row r="38" spans="1:26" customFormat="1" ht="15" customHeight="1">
      <c r="A38" s="702"/>
      <c r="B38" s="705"/>
      <c r="C38" s="684"/>
      <c r="D38" s="684"/>
      <c r="E38" s="684"/>
      <c r="F38" s="709"/>
      <c r="G38" s="54" t="s">
        <v>299</v>
      </c>
      <c r="H38" s="54" t="s">
        <v>300</v>
      </c>
      <c r="I38" s="71">
        <f>F34</f>
        <v>1</v>
      </c>
      <c r="J38" s="66" t="e">
        <f>I38*#REF!</f>
        <v>#REF!</v>
      </c>
      <c r="K38" s="55"/>
      <c r="L38" s="1"/>
      <c r="M38" s="1"/>
      <c r="N38" s="1"/>
      <c r="O38" s="1"/>
      <c r="P38" s="1"/>
      <c r="Q38" s="57" t="e">
        <f>J38*708*878/1000000/0.9</f>
        <v>#REF!</v>
      </c>
      <c r="R38" s="57"/>
      <c r="S38" s="57"/>
      <c r="T38" s="43">
        <v>1</v>
      </c>
    </row>
    <row r="39" spans="1:26" customFormat="1" ht="15" customHeight="1" thickBot="1">
      <c r="A39" s="703"/>
      <c r="B39" s="706"/>
      <c r="C39" s="685"/>
      <c r="D39" s="685"/>
      <c r="E39" s="685"/>
      <c r="F39" s="716"/>
      <c r="G39" s="72" t="s">
        <v>175</v>
      </c>
      <c r="H39" s="72" t="s">
        <v>176</v>
      </c>
      <c r="I39" s="73">
        <f>F34*2</f>
        <v>2</v>
      </c>
      <c r="J39" s="66" t="e">
        <f>I39*#REF!</f>
        <v>#REF!</v>
      </c>
      <c r="K39" s="55"/>
      <c r="L39" s="1"/>
      <c r="M39" s="1"/>
      <c r="N39" s="1"/>
      <c r="O39" s="1"/>
      <c r="P39" s="1"/>
      <c r="Q39" s="57" t="e">
        <f>J39*88*867/1000000/0.9</f>
        <v>#REF!</v>
      </c>
      <c r="R39" s="57"/>
      <c r="S39" s="57"/>
      <c r="T39" s="43">
        <v>1</v>
      </c>
    </row>
    <row r="40" spans="1:26" ht="15" customHeight="1">
      <c r="A40" s="686"/>
      <c r="B40" s="689" t="s">
        <v>162</v>
      </c>
      <c r="C40" s="692">
        <v>900</v>
      </c>
      <c r="D40" s="692">
        <v>560</v>
      </c>
      <c r="E40" s="692">
        <v>720</v>
      </c>
      <c r="F40" s="692">
        <v>1</v>
      </c>
      <c r="G40" s="30" t="s">
        <v>163</v>
      </c>
      <c r="H40" s="30" t="s">
        <v>164</v>
      </c>
      <c r="I40" s="31">
        <f>F40</f>
        <v>1</v>
      </c>
      <c r="J40" s="695">
        <v>40</v>
      </c>
      <c r="K40" s="32">
        <f>I40*J40</f>
        <v>40</v>
      </c>
      <c r="L40" s="33" t="s">
        <v>165</v>
      </c>
      <c r="M40" s="34" t="s">
        <v>166</v>
      </c>
      <c r="N40" s="34">
        <v>1</v>
      </c>
      <c r="R40" s="37">
        <f>K40*560*720/1000000/0.9</f>
        <v>17.919999999999998</v>
      </c>
      <c r="S40" s="38">
        <f t="shared" si="1"/>
        <v>104</v>
      </c>
      <c r="T40" s="38">
        <f t="shared" si="2"/>
        <v>28.799999999999997</v>
      </c>
      <c r="U40" s="38">
        <f t="shared" si="3"/>
        <v>75.2</v>
      </c>
      <c r="V40" s="698">
        <f>J40*9</f>
        <v>360</v>
      </c>
      <c r="W40" s="39">
        <f t="shared" si="4"/>
        <v>0.258048</v>
      </c>
      <c r="X40" s="43">
        <v>0</v>
      </c>
      <c r="Y40" s="21"/>
      <c r="Z40" s="21"/>
    </row>
    <row r="41" spans="1:26" ht="15" customHeight="1">
      <c r="A41" s="687"/>
      <c r="B41" s="690"/>
      <c r="C41" s="693"/>
      <c r="D41" s="693"/>
      <c r="E41" s="693"/>
      <c r="F41" s="693"/>
      <c r="G41" s="34" t="s">
        <v>167</v>
      </c>
      <c r="H41" s="34" t="s">
        <v>168</v>
      </c>
      <c r="I41" s="40">
        <f>F40</f>
        <v>1</v>
      </c>
      <c r="J41" s="696"/>
      <c r="K41" s="32">
        <f>I41*J40</f>
        <v>40</v>
      </c>
      <c r="L41" s="33" t="s">
        <v>169</v>
      </c>
      <c r="M41" s="34" t="s">
        <v>170</v>
      </c>
      <c r="N41" s="34">
        <v>1</v>
      </c>
      <c r="R41" s="37">
        <f>K41*560*720/1000000/0.9</f>
        <v>17.919999999999998</v>
      </c>
      <c r="S41" s="38">
        <f t="shared" si="1"/>
        <v>104</v>
      </c>
      <c r="T41" s="38">
        <f t="shared" si="2"/>
        <v>28.799999999999997</v>
      </c>
      <c r="U41" s="38">
        <f t="shared" si="3"/>
        <v>75.2</v>
      </c>
      <c r="V41" s="699"/>
      <c r="W41" s="39">
        <f t="shared" si="4"/>
        <v>0.258048</v>
      </c>
      <c r="X41" s="43">
        <v>0</v>
      </c>
      <c r="Y41" s="21"/>
      <c r="Z41" s="21"/>
    </row>
    <row r="42" spans="1:26" ht="15" customHeight="1">
      <c r="A42" s="687"/>
      <c r="B42" s="690"/>
      <c r="C42" s="693"/>
      <c r="D42" s="693"/>
      <c r="E42" s="693"/>
      <c r="F42" s="693"/>
      <c r="G42" s="34" t="s">
        <v>171</v>
      </c>
      <c r="H42" s="34" t="s">
        <v>172</v>
      </c>
      <c r="I42" s="40">
        <f>F40</f>
        <v>1</v>
      </c>
      <c r="J42" s="696"/>
      <c r="K42" s="32">
        <f>I42*J40</f>
        <v>40</v>
      </c>
      <c r="L42" s="33" t="s">
        <v>173</v>
      </c>
      <c r="M42" s="34" t="s">
        <v>174</v>
      </c>
      <c r="N42" s="34">
        <v>1</v>
      </c>
      <c r="R42" s="37">
        <f>K42*558*867/1000000/0.9</f>
        <v>21.5016</v>
      </c>
      <c r="S42" s="38">
        <f>K42*((560+867)*2+40)/1000</f>
        <v>115.76</v>
      </c>
      <c r="T42" s="38">
        <f t="shared" si="2"/>
        <v>34.679999999999993</v>
      </c>
      <c r="U42" s="38">
        <f>S42-0.867*K42</f>
        <v>81.080000000000013</v>
      </c>
      <c r="V42" s="699"/>
      <c r="W42" s="39">
        <f>K42*558*867*16/1000000000</f>
        <v>0.30962304000000002</v>
      </c>
      <c r="X42" s="43">
        <v>0</v>
      </c>
      <c r="Y42" s="21"/>
      <c r="Z42" s="21"/>
    </row>
    <row r="43" spans="1:26" ht="15" customHeight="1">
      <c r="A43" s="687"/>
      <c r="B43" s="690"/>
      <c r="C43" s="693"/>
      <c r="D43" s="693"/>
      <c r="E43" s="693"/>
      <c r="F43" s="693"/>
      <c r="G43" s="34" t="s">
        <v>175</v>
      </c>
      <c r="H43" s="34" t="s">
        <v>176</v>
      </c>
      <c r="I43" s="40">
        <f>F40</f>
        <v>1</v>
      </c>
      <c r="J43" s="696"/>
      <c r="K43" s="32">
        <f>I43*J40</f>
        <v>40</v>
      </c>
      <c r="L43" s="33" t="s">
        <v>177</v>
      </c>
      <c r="M43" s="34" t="s">
        <v>178</v>
      </c>
      <c r="N43" s="34">
        <v>1</v>
      </c>
      <c r="R43" s="37">
        <f>K43*88*867/1000000/0.9</f>
        <v>3.3909333333333329</v>
      </c>
      <c r="S43" s="38">
        <f>K43*((88+867)+10)/1000</f>
        <v>38.6</v>
      </c>
      <c r="T43" s="38">
        <f t="shared" si="2"/>
        <v>34.68</v>
      </c>
      <c r="U43" s="38">
        <f>S43-0.867*K43</f>
        <v>3.9200000000000017</v>
      </c>
      <c r="V43" s="699"/>
      <c r="W43" s="39">
        <f>K43*88*867*16/1000000000</f>
        <v>4.8829440000000002E-2</v>
      </c>
      <c r="X43" s="43">
        <v>1</v>
      </c>
      <c r="Y43" s="21"/>
      <c r="Z43" s="21"/>
    </row>
    <row r="44" spans="1:26" s="62" customFormat="1" ht="15.75" customHeight="1" thickBot="1">
      <c r="A44" s="688"/>
      <c r="B44" s="691"/>
      <c r="C44" s="694"/>
      <c r="D44" s="694"/>
      <c r="E44" s="694"/>
      <c r="F44" s="694"/>
      <c r="G44" s="76" t="s">
        <v>301</v>
      </c>
      <c r="H44" s="76" t="s">
        <v>302</v>
      </c>
      <c r="I44" s="40">
        <f>F40</f>
        <v>1</v>
      </c>
      <c r="J44" s="80"/>
      <c r="K44" s="59" t="s">
        <v>301</v>
      </c>
      <c r="L44" s="59" t="s">
        <v>302</v>
      </c>
      <c r="M44" s="59">
        <v>1</v>
      </c>
      <c r="N44" s="63"/>
      <c r="O44" s="63"/>
      <c r="P44" s="63"/>
      <c r="Q44" s="57"/>
      <c r="R44" s="57"/>
      <c r="S44" s="57">
        <f t="shared" ref="S44" si="9">J44*560*720*16/1000000000</f>
        <v>0</v>
      </c>
      <c r="T44" s="61">
        <v>0</v>
      </c>
      <c r="U44" s="79"/>
      <c r="V44" s="60"/>
    </row>
    <row r="45" spans="1:26" ht="15" customHeight="1">
      <c r="A45" s="733"/>
      <c r="B45" s="736" t="s">
        <v>179</v>
      </c>
      <c r="C45" s="683">
        <v>600</v>
      </c>
      <c r="D45" s="683">
        <v>560</v>
      </c>
      <c r="E45" s="683">
        <v>720</v>
      </c>
      <c r="F45" s="683">
        <v>1</v>
      </c>
      <c r="G45" s="30" t="s">
        <v>180</v>
      </c>
      <c r="H45" s="30" t="s">
        <v>181</v>
      </c>
      <c r="I45" s="31">
        <f>F45</f>
        <v>1</v>
      </c>
      <c r="J45" s="695">
        <v>25</v>
      </c>
      <c r="K45" s="32">
        <f>I45*J45</f>
        <v>25</v>
      </c>
      <c r="L45" s="33" t="s">
        <v>182</v>
      </c>
      <c r="M45" s="34" t="s">
        <v>183</v>
      </c>
      <c r="N45" s="34">
        <v>1</v>
      </c>
      <c r="R45" s="37">
        <f>K45*560*720/1000000/0.9</f>
        <v>11.2</v>
      </c>
      <c r="S45" s="38">
        <f t="shared" si="1"/>
        <v>65</v>
      </c>
      <c r="T45" s="38">
        <f t="shared" si="2"/>
        <v>18</v>
      </c>
      <c r="U45" s="38">
        <f t="shared" si="3"/>
        <v>47</v>
      </c>
      <c r="V45" s="698">
        <f>J45*11</f>
        <v>275</v>
      </c>
      <c r="W45" s="39">
        <f t="shared" si="4"/>
        <v>0.16128000000000001</v>
      </c>
      <c r="X45" s="43">
        <v>0</v>
      </c>
      <c r="Y45" s="21"/>
      <c r="Z45" s="21"/>
    </row>
    <row r="46" spans="1:26" ht="15" customHeight="1">
      <c r="A46" s="734"/>
      <c r="B46" s="737"/>
      <c r="C46" s="684"/>
      <c r="D46" s="684"/>
      <c r="E46" s="684"/>
      <c r="F46" s="684"/>
      <c r="G46" s="34" t="s">
        <v>184</v>
      </c>
      <c r="H46" s="34" t="s">
        <v>185</v>
      </c>
      <c r="I46" s="40">
        <f>F45</f>
        <v>1</v>
      </c>
      <c r="J46" s="696"/>
      <c r="K46" s="32">
        <f>I46*J45</f>
        <v>25</v>
      </c>
      <c r="L46" s="33" t="s">
        <v>186</v>
      </c>
      <c r="M46" s="34" t="s">
        <v>187</v>
      </c>
      <c r="N46" s="34">
        <v>1</v>
      </c>
      <c r="R46" s="37">
        <f>K46*560*720/1000000/0.9</f>
        <v>11.2</v>
      </c>
      <c r="S46" s="38">
        <f t="shared" si="1"/>
        <v>65</v>
      </c>
      <c r="T46" s="38">
        <f t="shared" si="2"/>
        <v>18</v>
      </c>
      <c r="U46" s="38">
        <f t="shared" si="3"/>
        <v>47</v>
      </c>
      <c r="V46" s="699"/>
      <c r="W46" s="39">
        <f t="shared" si="4"/>
        <v>0.16128000000000001</v>
      </c>
      <c r="X46" s="43">
        <v>0</v>
      </c>
      <c r="Y46" s="21"/>
      <c r="Z46" s="21"/>
    </row>
    <row r="47" spans="1:26" ht="15" customHeight="1">
      <c r="A47" s="734"/>
      <c r="B47" s="737"/>
      <c r="C47" s="684"/>
      <c r="D47" s="684"/>
      <c r="E47" s="684"/>
      <c r="F47" s="684"/>
      <c r="G47" s="34" t="s">
        <v>188</v>
      </c>
      <c r="H47" s="34" t="s">
        <v>189</v>
      </c>
      <c r="I47" s="40">
        <f>F45</f>
        <v>1</v>
      </c>
      <c r="J47" s="696"/>
      <c r="K47" s="32">
        <f>I47*J45</f>
        <v>25</v>
      </c>
      <c r="L47" s="33" t="s">
        <v>190</v>
      </c>
      <c r="M47" s="34" t="s">
        <v>191</v>
      </c>
      <c r="N47" s="34">
        <v>1</v>
      </c>
      <c r="R47" s="37">
        <f>K47*520*567/1000000/0.9</f>
        <v>8.19</v>
      </c>
      <c r="S47" s="38">
        <f>K47*((520+567)*2+40)/1000</f>
        <v>55.35</v>
      </c>
      <c r="T47" s="38">
        <f t="shared" si="2"/>
        <v>14.174999999999997</v>
      </c>
      <c r="U47" s="38">
        <f>S47-0.567*K47</f>
        <v>41.175000000000004</v>
      </c>
      <c r="V47" s="699"/>
      <c r="W47" s="39">
        <f>K47*520*567*16/1000000000</f>
        <v>0.117936</v>
      </c>
      <c r="X47" s="43">
        <v>0</v>
      </c>
      <c r="Y47" s="21"/>
      <c r="Z47" s="21"/>
    </row>
    <row r="48" spans="1:26" ht="15" customHeight="1">
      <c r="A48" s="734"/>
      <c r="B48" s="737"/>
      <c r="C48" s="684"/>
      <c r="D48" s="684"/>
      <c r="E48" s="684"/>
      <c r="F48" s="684"/>
      <c r="G48" s="34" t="s">
        <v>158</v>
      </c>
      <c r="H48" s="34" t="s">
        <v>159</v>
      </c>
      <c r="I48" s="40">
        <f>F45*2</f>
        <v>2</v>
      </c>
      <c r="J48" s="696"/>
      <c r="K48" s="32">
        <f>I48*J45</f>
        <v>50</v>
      </c>
      <c r="L48" s="33" t="s">
        <v>160</v>
      </c>
      <c r="M48" s="34" t="s">
        <v>161</v>
      </c>
      <c r="N48" s="34">
        <v>2</v>
      </c>
      <c r="R48" s="37">
        <f>K48*88*567/1000000/0.9</f>
        <v>2.7720000000000002</v>
      </c>
      <c r="S48" s="38">
        <f>K48*((88+567)+10)/1000</f>
        <v>33.25</v>
      </c>
      <c r="T48" s="38">
        <f t="shared" si="2"/>
        <v>28.349999999999998</v>
      </c>
      <c r="U48" s="38">
        <f>S48-0.567*K48</f>
        <v>4.9000000000000021</v>
      </c>
      <c r="V48" s="699"/>
      <c r="W48" s="39">
        <f>K48*88*567*16/1000000000</f>
        <v>3.9916800000000002E-2</v>
      </c>
      <c r="X48" s="43">
        <v>1</v>
      </c>
      <c r="Y48" s="21"/>
      <c r="Z48" s="21"/>
    </row>
    <row r="49" spans="1:26" ht="15" customHeight="1" thickBot="1">
      <c r="A49" s="735"/>
      <c r="B49" s="738"/>
      <c r="C49" s="685"/>
      <c r="D49" s="685"/>
      <c r="E49" s="685"/>
      <c r="F49" s="685"/>
      <c r="G49" s="45" t="s">
        <v>192</v>
      </c>
      <c r="H49" s="45" t="s">
        <v>193</v>
      </c>
      <c r="I49" s="46">
        <f>F45</f>
        <v>1</v>
      </c>
      <c r="J49" s="697"/>
      <c r="K49" s="47">
        <f>I49*J45</f>
        <v>25</v>
      </c>
      <c r="L49" s="33" t="s">
        <v>194</v>
      </c>
      <c r="M49" s="34" t="s">
        <v>195</v>
      </c>
      <c r="N49" s="34">
        <v>1</v>
      </c>
      <c r="R49" s="37">
        <f>K49*520*567/1000000/0.9</f>
        <v>8.19</v>
      </c>
      <c r="S49" s="38">
        <f>K49*((520+567)*2+40)/1000</f>
        <v>55.35</v>
      </c>
      <c r="T49" s="38">
        <f t="shared" si="2"/>
        <v>14.174999999999997</v>
      </c>
      <c r="U49" s="38">
        <f>S49-0.567*K49</f>
        <v>41.175000000000004</v>
      </c>
      <c r="V49" s="700"/>
      <c r="W49" s="39">
        <f>K49*520*567*16/1000000000</f>
        <v>0.117936</v>
      </c>
      <c r="X49" s="43">
        <v>0</v>
      </c>
      <c r="Y49" s="21"/>
      <c r="Z49" s="21"/>
    </row>
    <row r="50" spans="1:26" ht="15" customHeight="1" thickBot="1">
      <c r="A50" s="720"/>
      <c r="B50" s="717" t="s">
        <v>196</v>
      </c>
      <c r="C50" s="683">
        <v>150</v>
      </c>
      <c r="D50" s="683">
        <v>560</v>
      </c>
      <c r="E50" s="683">
        <v>720</v>
      </c>
      <c r="F50" s="683">
        <v>1</v>
      </c>
      <c r="G50" s="69" t="s">
        <v>288</v>
      </c>
      <c r="H50" s="30" t="s">
        <v>197</v>
      </c>
      <c r="I50" s="31">
        <f>F50</f>
        <v>1</v>
      </c>
      <c r="J50" s="695">
        <v>25</v>
      </c>
      <c r="K50" s="32">
        <f>I50*J50</f>
        <v>25</v>
      </c>
      <c r="L50" s="33" t="s">
        <v>198</v>
      </c>
      <c r="M50" s="34" t="s">
        <v>199</v>
      </c>
      <c r="N50" s="34">
        <v>1</v>
      </c>
      <c r="R50" s="37">
        <f>K50*560*720/1000000/0.9</f>
        <v>11.2</v>
      </c>
      <c r="S50" s="38">
        <f t="shared" si="1"/>
        <v>65</v>
      </c>
      <c r="T50" s="38">
        <f t="shared" si="2"/>
        <v>18</v>
      </c>
      <c r="U50" s="38">
        <f t="shared" si="3"/>
        <v>47</v>
      </c>
      <c r="V50" s="698">
        <f>J50*11</f>
        <v>275</v>
      </c>
      <c r="W50" s="39">
        <f t="shared" si="4"/>
        <v>0.16128000000000001</v>
      </c>
      <c r="X50" s="43">
        <v>0</v>
      </c>
      <c r="Y50" s="21"/>
      <c r="Z50" s="21"/>
    </row>
    <row r="51" spans="1:26" ht="15" customHeight="1">
      <c r="A51" s="721"/>
      <c r="B51" s="718"/>
      <c r="C51" s="684"/>
      <c r="D51" s="684"/>
      <c r="E51" s="684"/>
      <c r="F51" s="684"/>
      <c r="G51" s="69" t="s">
        <v>288</v>
      </c>
      <c r="H51" s="34" t="s">
        <v>200</v>
      </c>
      <c r="I51" s="40">
        <f>F50</f>
        <v>1</v>
      </c>
      <c r="J51" s="696"/>
      <c r="K51" s="32">
        <f>I51*J50</f>
        <v>25</v>
      </c>
      <c r="L51" s="33" t="s">
        <v>201</v>
      </c>
      <c r="M51" s="34" t="s">
        <v>202</v>
      </c>
      <c r="N51" s="34">
        <v>1</v>
      </c>
      <c r="R51" s="37">
        <f>K51*560*720/1000000/0.9</f>
        <v>11.2</v>
      </c>
      <c r="S51" s="38">
        <f t="shared" si="1"/>
        <v>65</v>
      </c>
      <c r="T51" s="38">
        <f t="shared" si="2"/>
        <v>18</v>
      </c>
      <c r="U51" s="38">
        <f t="shared" si="3"/>
        <v>47</v>
      </c>
      <c r="V51" s="699"/>
      <c r="W51" s="39">
        <f t="shared" si="4"/>
        <v>0.16128000000000001</v>
      </c>
      <c r="X51" s="43">
        <v>0</v>
      </c>
      <c r="Y51" s="21"/>
      <c r="Z51" s="21"/>
    </row>
    <row r="52" spans="1:26" ht="15" customHeight="1">
      <c r="A52" s="721"/>
      <c r="B52" s="718"/>
      <c r="C52" s="684"/>
      <c r="D52" s="684"/>
      <c r="E52" s="684"/>
      <c r="F52" s="684"/>
      <c r="G52" s="34" t="s">
        <v>203</v>
      </c>
      <c r="H52" s="34" t="s">
        <v>204</v>
      </c>
      <c r="I52" s="40">
        <f>F50</f>
        <v>1</v>
      </c>
      <c r="J52" s="696"/>
      <c r="K52" s="32">
        <f>I52*J50</f>
        <v>25</v>
      </c>
      <c r="L52" s="33" t="s">
        <v>205</v>
      </c>
      <c r="M52" s="34" t="s">
        <v>206</v>
      </c>
      <c r="N52" s="34">
        <v>1</v>
      </c>
      <c r="R52" s="37">
        <f>K52*560*117/1000000/0.9</f>
        <v>1.8199999999999998</v>
      </c>
      <c r="S52" s="38">
        <f>K52*((560+117)*2+40)/1000</f>
        <v>34.85</v>
      </c>
      <c r="T52" s="38">
        <f t="shared" si="2"/>
        <v>2.9250000000000007</v>
      </c>
      <c r="U52" s="38">
        <f>S52-0.117*K52</f>
        <v>31.925000000000001</v>
      </c>
      <c r="V52" s="699"/>
      <c r="W52" s="39">
        <f>K52*708*117*16/1000000000</f>
        <v>3.3134400000000001E-2</v>
      </c>
      <c r="X52" s="43">
        <v>0</v>
      </c>
      <c r="Y52" s="21"/>
      <c r="Z52" s="21"/>
    </row>
    <row r="53" spans="1:26" ht="15" customHeight="1">
      <c r="A53" s="721"/>
      <c r="B53" s="718"/>
      <c r="C53" s="684"/>
      <c r="D53" s="684"/>
      <c r="E53" s="684"/>
      <c r="F53" s="684"/>
      <c r="G53" s="34" t="s">
        <v>207</v>
      </c>
      <c r="H53" s="34" t="s">
        <v>208</v>
      </c>
      <c r="I53" s="40">
        <f>F50</f>
        <v>1</v>
      </c>
      <c r="J53" s="696"/>
      <c r="K53" s="32">
        <f>I53*J50</f>
        <v>25</v>
      </c>
      <c r="L53" s="33" t="s">
        <v>209</v>
      </c>
      <c r="M53" s="34" t="s">
        <v>210</v>
      </c>
      <c r="N53" s="34">
        <v>1</v>
      </c>
      <c r="R53" s="37">
        <f>K53*708*128/1000000/0.9</f>
        <v>2.5173333333333332</v>
      </c>
      <c r="S53" s="38"/>
      <c r="T53" s="38"/>
      <c r="U53" s="38"/>
      <c r="V53" s="699"/>
      <c r="W53" s="39">
        <f>K53*708*128*3/1000000000</f>
        <v>6.7968000000000004E-3</v>
      </c>
      <c r="X53" s="43">
        <v>0</v>
      </c>
      <c r="Y53" s="21"/>
      <c r="Z53" s="21"/>
    </row>
    <row r="54" spans="1:26" ht="15" customHeight="1" thickBot="1">
      <c r="A54" s="721"/>
      <c r="B54" s="718"/>
      <c r="C54" s="685"/>
      <c r="D54" s="685"/>
      <c r="E54" s="685"/>
      <c r="F54" s="685"/>
      <c r="G54" s="45" t="s">
        <v>211</v>
      </c>
      <c r="H54" s="45" t="s">
        <v>212</v>
      </c>
      <c r="I54" s="46">
        <f>F50*2</f>
        <v>2</v>
      </c>
      <c r="J54" s="697"/>
      <c r="K54" s="47">
        <f>I54*J50</f>
        <v>50</v>
      </c>
      <c r="L54" s="33" t="s">
        <v>213</v>
      </c>
      <c r="M54" s="34" t="s">
        <v>214</v>
      </c>
      <c r="N54" s="34">
        <v>2</v>
      </c>
      <c r="R54" s="37">
        <f>K54*88*117/1000000/0.9</f>
        <v>0.57200000000000006</v>
      </c>
      <c r="S54" s="38">
        <f>K54*((88+117)+10)/1000</f>
        <v>10.75</v>
      </c>
      <c r="T54" s="38">
        <f t="shared" si="2"/>
        <v>10.75</v>
      </c>
      <c r="U54" s="38"/>
      <c r="V54" s="700"/>
      <c r="W54" s="39">
        <f>K54*88*117*16/1000000000</f>
        <v>8.2368000000000007E-3</v>
      </c>
      <c r="X54" s="43">
        <v>0</v>
      </c>
      <c r="Y54" s="21"/>
      <c r="Z54" s="21"/>
    </row>
    <row r="55" spans="1:26" ht="15" customHeight="1" thickBot="1">
      <c r="A55" s="721"/>
      <c r="B55" s="718"/>
      <c r="C55" s="684">
        <v>300</v>
      </c>
      <c r="D55" s="684">
        <v>560</v>
      </c>
      <c r="E55" s="684">
        <v>720</v>
      </c>
      <c r="F55" s="684">
        <v>1</v>
      </c>
      <c r="G55" s="69" t="s">
        <v>288</v>
      </c>
      <c r="H55" s="77" t="s">
        <v>197</v>
      </c>
      <c r="I55" s="78">
        <f>F55</f>
        <v>1</v>
      </c>
      <c r="J55" s="695">
        <v>20</v>
      </c>
      <c r="K55" s="32">
        <f>I55*J55</f>
        <v>20</v>
      </c>
      <c r="L55" s="33" t="s">
        <v>198</v>
      </c>
      <c r="M55" s="34" t="s">
        <v>199</v>
      </c>
      <c r="N55" s="34">
        <v>1</v>
      </c>
      <c r="R55" s="37">
        <f>K55*560*720/1000000/0.9</f>
        <v>8.9599999999999991</v>
      </c>
      <c r="S55" s="38">
        <f t="shared" si="1"/>
        <v>52</v>
      </c>
      <c r="T55" s="38">
        <f t="shared" si="2"/>
        <v>14.399999999999999</v>
      </c>
      <c r="U55" s="38">
        <f t="shared" si="3"/>
        <v>37.6</v>
      </c>
      <c r="V55" s="698">
        <f>J55*11</f>
        <v>220</v>
      </c>
      <c r="W55" s="39">
        <f t="shared" si="4"/>
        <v>0.129024</v>
      </c>
      <c r="X55" s="43">
        <v>1</v>
      </c>
      <c r="Y55" s="21"/>
      <c r="Z55" s="21"/>
    </row>
    <row r="56" spans="1:26" ht="15" customHeight="1">
      <c r="A56" s="721"/>
      <c r="B56" s="718"/>
      <c r="C56" s="684"/>
      <c r="D56" s="684"/>
      <c r="E56" s="684"/>
      <c r="F56" s="684"/>
      <c r="G56" s="69" t="s">
        <v>288</v>
      </c>
      <c r="H56" s="34" t="s">
        <v>200</v>
      </c>
      <c r="I56" s="40">
        <f>F55</f>
        <v>1</v>
      </c>
      <c r="J56" s="696"/>
      <c r="K56" s="32">
        <f>I56*J55</f>
        <v>20</v>
      </c>
      <c r="L56" s="33" t="s">
        <v>201</v>
      </c>
      <c r="M56" s="34" t="s">
        <v>202</v>
      </c>
      <c r="N56" s="34">
        <v>1</v>
      </c>
      <c r="R56" s="37">
        <f>K56*560*720/1000000/0.9</f>
        <v>8.9599999999999991</v>
      </c>
      <c r="S56" s="38">
        <f t="shared" si="1"/>
        <v>52</v>
      </c>
      <c r="T56" s="38">
        <f t="shared" si="2"/>
        <v>14.399999999999999</v>
      </c>
      <c r="U56" s="38">
        <f t="shared" si="3"/>
        <v>37.6</v>
      </c>
      <c r="V56" s="699"/>
      <c r="W56" s="39">
        <f t="shared" si="4"/>
        <v>0.129024</v>
      </c>
      <c r="X56" s="43">
        <v>1</v>
      </c>
      <c r="Y56" s="21"/>
      <c r="Z56" s="21"/>
    </row>
    <row r="57" spans="1:26" ht="15" customHeight="1">
      <c r="A57" s="721"/>
      <c r="B57" s="718"/>
      <c r="C57" s="684"/>
      <c r="D57" s="684"/>
      <c r="E57" s="684"/>
      <c r="F57" s="684"/>
      <c r="G57" s="34" t="s">
        <v>215</v>
      </c>
      <c r="H57" s="34" t="s">
        <v>216</v>
      </c>
      <c r="I57" s="40">
        <f>F55</f>
        <v>1</v>
      </c>
      <c r="J57" s="696"/>
      <c r="K57" s="32">
        <f>I57*J55</f>
        <v>20</v>
      </c>
      <c r="L57" s="33" t="s">
        <v>217</v>
      </c>
      <c r="M57" s="34" t="s">
        <v>218</v>
      </c>
      <c r="N57" s="34">
        <v>1</v>
      </c>
      <c r="R57" s="37">
        <f>K57*560*267/1000000/0.9</f>
        <v>3.3226666666666667</v>
      </c>
      <c r="S57" s="38">
        <f>K57*((560+267)*2+40)/1000</f>
        <v>33.880000000000003</v>
      </c>
      <c r="T57" s="38">
        <f t="shared" si="2"/>
        <v>5.34</v>
      </c>
      <c r="U57" s="38">
        <f>S57-0.267*K57</f>
        <v>28.540000000000003</v>
      </c>
      <c r="V57" s="699"/>
      <c r="W57" s="39">
        <f>K57*560*267*16/1000000000</f>
        <v>4.7846399999999997E-2</v>
      </c>
      <c r="X57" s="43">
        <v>0</v>
      </c>
      <c r="Y57" s="21"/>
      <c r="Z57" s="21"/>
    </row>
    <row r="58" spans="1:26" ht="15" customHeight="1">
      <c r="A58" s="721"/>
      <c r="B58" s="718"/>
      <c r="C58" s="684"/>
      <c r="D58" s="684"/>
      <c r="E58" s="684"/>
      <c r="F58" s="684"/>
      <c r="G58" s="34" t="s">
        <v>219</v>
      </c>
      <c r="H58" s="34" t="s">
        <v>220</v>
      </c>
      <c r="I58" s="40">
        <f>F55</f>
        <v>1</v>
      </c>
      <c r="J58" s="696"/>
      <c r="K58" s="32">
        <f>I58*J55</f>
        <v>20</v>
      </c>
      <c r="L58" s="33" t="s">
        <v>221</v>
      </c>
      <c r="M58" s="34" t="s">
        <v>222</v>
      </c>
      <c r="N58" s="34">
        <v>1</v>
      </c>
      <c r="R58" s="37">
        <f>K58*708*278/1000000/0.9</f>
        <v>4.3738666666666663</v>
      </c>
      <c r="S58" s="38"/>
      <c r="T58" s="38"/>
      <c r="U58" s="38"/>
      <c r="V58" s="699"/>
      <c r="W58" s="39">
        <f>K58*708*278*3/1000000000</f>
        <v>1.1809439999999999E-2</v>
      </c>
      <c r="X58" s="43">
        <v>0</v>
      </c>
      <c r="Y58" s="21"/>
      <c r="Z58" s="21"/>
    </row>
    <row r="59" spans="1:26" ht="15" customHeight="1" thickBot="1">
      <c r="A59" s="721"/>
      <c r="B59" s="718"/>
      <c r="C59" s="685"/>
      <c r="D59" s="685"/>
      <c r="E59" s="685"/>
      <c r="F59" s="685"/>
      <c r="G59" s="45" t="s">
        <v>223</v>
      </c>
      <c r="H59" s="45" t="s">
        <v>224</v>
      </c>
      <c r="I59" s="46">
        <f>F55*2</f>
        <v>2</v>
      </c>
      <c r="J59" s="697"/>
      <c r="K59" s="47">
        <f>I59*J55</f>
        <v>40</v>
      </c>
      <c r="L59" s="33" t="s">
        <v>225</v>
      </c>
      <c r="M59" s="34" t="s">
        <v>226</v>
      </c>
      <c r="N59" s="34">
        <v>2</v>
      </c>
      <c r="R59" s="37">
        <f>K59*88*267/1000000/0.9</f>
        <v>1.0442666666666667</v>
      </c>
      <c r="S59" s="38">
        <f>K59*((560+720)+10)/1000</f>
        <v>51.6</v>
      </c>
      <c r="T59" s="38">
        <f t="shared" si="2"/>
        <v>10.68</v>
      </c>
      <c r="U59" s="38">
        <f>S59-0.267*K59</f>
        <v>40.92</v>
      </c>
      <c r="V59" s="700"/>
      <c r="W59" s="39">
        <f>K59*88*267*16/1000000000</f>
        <v>1.5037439999999999E-2</v>
      </c>
      <c r="X59" s="43">
        <v>0</v>
      </c>
      <c r="Y59" s="21"/>
      <c r="Z59" s="21"/>
    </row>
    <row r="60" spans="1:26" customFormat="1" ht="15" customHeight="1" thickBot="1">
      <c r="A60" s="721"/>
      <c r="B60" s="718"/>
      <c r="C60" s="683">
        <v>450</v>
      </c>
      <c r="D60" s="683">
        <v>560</v>
      </c>
      <c r="E60" s="683">
        <v>720</v>
      </c>
      <c r="F60" s="709">
        <v>1</v>
      </c>
      <c r="G60" s="69" t="s">
        <v>288</v>
      </c>
      <c r="H60" s="54" t="s">
        <v>197</v>
      </c>
      <c r="I60" s="71">
        <f>F60</f>
        <v>1</v>
      </c>
      <c r="J60" s="67" t="e">
        <f>I60*#REF!</f>
        <v>#REF!</v>
      </c>
      <c r="K60" s="64">
        <v>1</v>
      </c>
      <c r="Q60" s="57" t="e">
        <f t="shared" ref="Q60:Q64" si="10">J60*300*720/1000000/0.9</f>
        <v>#REF!</v>
      </c>
      <c r="R60" s="57"/>
      <c r="S60" s="57"/>
    </row>
    <row r="61" spans="1:26" customFormat="1" ht="15" customHeight="1">
      <c r="A61" s="721"/>
      <c r="B61" s="718"/>
      <c r="C61" s="684"/>
      <c r="D61" s="684"/>
      <c r="E61" s="684"/>
      <c r="F61" s="709"/>
      <c r="G61" s="69" t="s">
        <v>288</v>
      </c>
      <c r="H61" s="54" t="s">
        <v>200</v>
      </c>
      <c r="I61" s="71">
        <f>F60</f>
        <v>1</v>
      </c>
      <c r="J61" s="67" t="e">
        <f>I61*#REF!</f>
        <v>#REF!</v>
      </c>
      <c r="K61" s="64">
        <v>1</v>
      </c>
      <c r="Q61" s="57" t="e">
        <f t="shared" si="10"/>
        <v>#REF!</v>
      </c>
      <c r="R61" s="57"/>
      <c r="S61" s="57"/>
    </row>
    <row r="62" spans="1:26" customFormat="1" ht="15" customHeight="1">
      <c r="A62" s="721"/>
      <c r="B62" s="718"/>
      <c r="C62" s="684"/>
      <c r="D62" s="684"/>
      <c r="E62" s="684"/>
      <c r="F62" s="709"/>
      <c r="G62" s="54" t="s">
        <v>118</v>
      </c>
      <c r="H62" s="54" t="s">
        <v>119</v>
      </c>
      <c r="I62" s="71">
        <f>F60</f>
        <v>1</v>
      </c>
      <c r="J62" s="67" t="e">
        <f>I62*#REF!</f>
        <v>#REF!</v>
      </c>
      <c r="K62" s="64">
        <v>1</v>
      </c>
      <c r="Q62" s="57" t="e">
        <f t="shared" si="10"/>
        <v>#REF!</v>
      </c>
      <c r="R62" s="57"/>
      <c r="S62" s="57"/>
    </row>
    <row r="63" spans="1:26" customFormat="1" ht="15" customHeight="1">
      <c r="A63" s="721"/>
      <c r="B63" s="718"/>
      <c r="C63" s="684"/>
      <c r="D63" s="684"/>
      <c r="E63" s="684"/>
      <c r="F63" s="709"/>
      <c r="G63" s="54" t="s">
        <v>129</v>
      </c>
      <c r="H63" s="54" t="s">
        <v>130</v>
      </c>
      <c r="I63" s="71">
        <f>F60</f>
        <v>1</v>
      </c>
      <c r="J63" s="67" t="e">
        <f>I63*#REF!</f>
        <v>#REF!</v>
      </c>
      <c r="K63" s="64">
        <v>1</v>
      </c>
      <c r="Q63" s="57" t="e">
        <f t="shared" si="10"/>
        <v>#REF!</v>
      </c>
      <c r="R63" s="57"/>
      <c r="S63" s="57"/>
    </row>
    <row r="64" spans="1:26" customFormat="1" ht="15" customHeight="1" thickBot="1">
      <c r="A64" s="722"/>
      <c r="B64" s="719"/>
      <c r="C64" s="685"/>
      <c r="D64" s="685"/>
      <c r="E64" s="685"/>
      <c r="F64" s="716"/>
      <c r="G64" s="72" t="s">
        <v>134</v>
      </c>
      <c r="H64" s="72" t="s">
        <v>135</v>
      </c>
      <c r="I64" s="73">
        <f>F60*2</f>
        <v>2</v>
      </c>
      <c r="J64" s="67" t="e">
        <f>I64*#REF!</f>
        <v>#REF!</v>
      </c>
      <c r="K64" s="64">
        <v>2</v>
      </c>
      <c r="Q64" s="57" t="e">
        <f t="shared" si="10"/>
        <v>#REF!</v>
      </c>
      <c r="R64" s="57"/>
      <c r="S64" s="57"/>
    </row>
    <row r="65" spans="1:26" ht="15" customHeight="1">
      <c r="A65" s="701"/>
      <c r="B65" s="704" t="s">
        <v>320</v>
      </c>
      <c r="C65" s="683">
        <v>450</v>
      </c>
      <c r="D65" s="683">
        <v>300</v>
      </c>
      <c r="E65" s="683">
        <v>720</v>
      </c>
      <c r="F65" s="683">
        <v>1</v>
      </c>
      <c r="G65" s="30" t="s">
        <v>227</v>
      </c>
      <c r="H65" s="30" t="s">
        <v>228</v>
      </c>
      <c r="I65" s="31">
        <f>F65</f>
        <v>1</v>
      </c>
      <c r="J65" s="695">
        <v>35</v>
      </c>
      <c r="K65" s="32">
        <f>I65*J65</f>
        <v>35</v>
      </c>
      <c r="L65" s="33" t="s">
        <v>229</v>
      </c>
      <c r="M65" s="34" t="s">
        <v>230</v>
      </c>
      <c r="N65" s="34">
        <v>1</v>
      </c>
      <c r="R65" s="37">
        <f>K65*300*720/1000000/0.9</f>
        <v>8.3999999999999986</v>
      </c>
      <c r="S65" s="38">
        <f>K65*((300+720)*2+40)/1000</f>
        <v>72.8</v>
      </c>
      <c r="T65" s="38">
        <f t="shared" si="2"/>
        <v>25.200000000000003</v>
      </c>
      <c r="U65" s="38">
        <f t="shared" si="3"/>
        <v>47.599999999999994</v>
      </c>
      <c r="V65" s="698">
        <f>J65*11</f>
        <v>385</v>
      </c>
      <c r="W65" s="39">
        <f>K65*300*720*16/1000000000</f>
        <v>0.12096</v>
      </c>
      <c r="X65" s="43">
        <v>1</v>
      </c>
      <c r="Y65" s="21"/>
      <c r="Z65" s="21"/>
    </row>
    <row r="66" spans="1:26" ht="15" customHeight="1">
      <c r="A66" s="702"/>
      <c r="B66" s="705"/>
      <c r="C66" s="707"/>
      <c r="D66" s="707"/>
      <c r="E66" s="707"/>
      <c r="F66" s="707"/>
      <c r="G66" s="34" t="s">
        <v>231</v>
      </c>
      <c r="H66" s="34" t="s">
        <v>232</v>
      </c>
      <c r="I66" s="40">
        <f>F65</f>
        <v>1</v>
      </c>
      <c r="J66" s="696"/>
      <c r="K66" s="32">
        <f>I66*J65</f>
        <v>35</v>
      </c>
      <c r="L66" s="33" t="s">
        <v>233</v>
      </c>
      <c r="M66" s="34" t="s">
        <v>234</v>
      </c>
      <c r="N66" s="34">
        <v>1</v>
      </c>
      <c r="R66" s="37">
        <f>K66*300*720/1000000/0.9</f>
        <v>8.3999999999999986</v>
      </c>
      <c r="S66" s="38">
        <f>K66*((300+720)*2+40)/1000</f>
        <v>72.8</v>
      </c>
      <c r="T66" s="38">
        <f t="shared" si="2"/>
        <v>25.200000000000003</v>
      </c>
      <c r="U66" s="38">
        <f t="shared" si="3"/>
        <v>47.599999999999994</v>
      </c>
      <c r="V66" s="699"/>
      <c r="W66" s="39">
        <f>K66*300*720*16/1000000000</f>
        <v>0.12096</v>
      </c>
      <c r="X66" s="43">
        <v>1</v>
      </c>
      <c r="Y66" s="21"/>
      <c r="Z66" s="21"/>
    </row>
    <row r="67" spans="1:26" ht="15" customHeight="1">
      <c r="A67" s="702"/>
      <c r="B67" s="705"/>
      <c r="C67" s="707"/>
      <c r="D67" s="707"/>
      <c r="E67" s="707"/>
      <c r="F67" s="707"/>
      <c r="G67" s="34" t="s">
        <v>235</v>
      </c>
      <c r="H67" s="34" t="s">
        <v>236</v>
      </c>
      <c r="I67" s="40">
        <f>F65</f>
        <v>1</v>
      </c>
      <c r="J67" s="696"/>
      <c r="K67" s="32">
        <f>I67*J65</f>
        <v>35</v>
      </c>
      <c r="L67" s="33" t="s">
        <v>237</v>
      </c>
      <c r="M67" s="34" t="s">
        <v>238</v>
      </c>
      <c r="N67" s="34">
        <v>1</v>
      </c>
      <c r="R67" s="37">
        <f>K67*300*417/1000000/0.9</f>
        <v>4.8649999999999993</v>
      </c>
      <c r="S67" s="38">
        <f>K67*((300+417)*2+40)/1000</f>
        <v>51.59</v>
      </c>
      <c r="T67" s="38">
        <f t="shared" si="2"/>
        <v>14.594999999999999</v>
      </c>
      <c r="U67" s="38">
        <f>S67-0.417*K67</f>
        <v>36.995000000000005</v>
      </c>
      <c r="V67" s="699"/>
      <c r="W67" s="39">
        <f>K67*300*417*16/1000000000</f>
        <v>7.0055999999999993E-2</v>
      </c>
      <c r="X67" s="43">
        <v>0</v>
      </c>
      <c r="Y67" s="21"/>
      <c r="Z67" s="21"/>
    </row>
    <row r="68" spans="1:26" ht="15" customHeight="1">
      <c r="A68" s="702"/>
      <c r="B68" s="705"/>
      <c r="C68" s="707"/>
      <c r="D68" s="707"/>
      <c r="E68" s="707"/>
      <c r="F68" s="707"/>
      <c r="G68" s="34" t="s">
        <v>239</v>
      </c>
      <c r="H68" s="34" t="s">
        <v>240</v>
      </c>
      <c r="I68" s="40">
        <f>F65</f>
        <v>1</v>
      </c>
      <c r="J68" s="696"/>
      <c r="K68" s="32">
        <f>I68*J65</f>
        <v>35</v>
      </c>
      <c r="L68" s="33" t="s">
        <v>241</v>
      </c>
      <c r="M68" s="34" t="s">
        <v>242</v>
      </c>
      <c r="N68" s="34">
        <v>1</v>
      </c>
      <c r="R68" s="37">
        <f>K68*277*417/1000000/0.9</f>
        <v>4.4920166666666663</v>
      </c>
      <c r="S68" s="38">
        <f>K68*((277+417)*2+40)/1000</f>
        <v>49.98</v>
      </c>
      <c r="T68" s="38">
        <f t="shared" si="2"/>
        <v>14.594999999999999</v>
      </c>
      <c r="U68" s="38">
        <f>S68-0.417*K68</f>
        <v>35.384999999999998</v>
      </c>
      <c r="V68" s="699"/>
      <c r="W68" s="39">
        <f>K68*277*417*16/1000000000</f>
        <v>6.4685039999999999E-2</v>
      </c>
      <c r="X68" s="43">
        <v>0</v>
      </c>
      <c r="Y68" s="21"/>
      <c r="Z68" s="21"/>
    </row>
    <row r="69" spans="1:26" ht="15" customHeight="1">
      <c r="A69" s="702"/>
      <c r="B69" s="705"/>
      <c r="C69" s="707"/>
      <c r="D69" s="707"/>
      <c r="E69" s="707"/>
      <c r="F69" s="707"/>
      <c r="G69" s="34" t="s">
        <v>243</v>
      </c>
      <c r="H69" s="34" t="s">
        <v>244</v>
      </c>
      <c r="I69" s="40">
        <f>F65</f>
        <v>1</v>
      </c>
      <c r="J69" s="696"/>
      <c r="K69" s="32">
        <f>I69*J65</f>
        <v>35</v>
      </c>
      <c r="L69" s="33" t="s">
        <v>245</v>
      </c>
      <c r="M69" s="34" t="s">
        <v>246</v>
      </c>
      <c r="N69" s="34">
        <v>1</v>
      </c>
      <c r="R69" s="37">
        <f>K69*254*416/1000000/0.9</f>
        <v>4.1091555555555557</v>
      </c>
      <c r="S69" s="38">
        <f>K69*((254+416)*2+40)/1000</f>
        <v>48.3</v>
      </c>
      <c r="T69" s="38">
        <f t="shared" si="2"/>
        <v>14.560000000000002</v>
      </c>
      <c r="U69" s="38">
        <f>S69-0.416*K69</f>
        <v>33.739999999999995</v>
      </c>
      <c r="V69" s="699"/>
      <c r="W69" s="39">
        <f>K69*254*416*16/1000000000</f>
        <v>5.9171840000000003E-2</v>
      </c>
      <c r="X69" s="43">
        <v>0</v>
      </c>
      <c r="Y69" s="21"/>
      <c r="Z69" s="21"/>
    </row>
    <row r="70" spans="1:26" ht="15" customHeight="1">
      <c r="A70" s="702"/>
      <c r="B70" s="705"/>
      <c r="C70" s="707"/>
      <c r="D70" s="707"/>
      <c r="E70" s="707"/>
      <c r="F70" s="707"/>
      <c r="G70" s="34" t="s">
        <v>247</v>
      </c>
      <c r="H70" s="34" t="s">
        <v>248</v>
      </c>
      <c r="I70" s="40">
        <f>F65</f>
        <v>1</v>
      </c>
      <c r="J70" s="696"/>
      <c r="K70" s="32">
        <f>I70*J65</f>
        <v>35</v>
      </c>
      <c r="L70" s="33" t="s">
        <v>249</v>
      </c>
      <c r="M70" s="34" t="s">
        <v>250</v>
      </c>
      <c r="N70" s="34">
        <v>1</v>
      </c>
      <c r="R70" s="37">
        <f>K70*708*428/1000000/0.9</f>
        <v>11.784266666666667</v>
      </c>
      <c r="S70" s="38"/>
      <c r="T70" s="38"/>
      <c r="U70" s="38"/>
      <c r="V70" s="699"/>
      <c r="W70" s="39">
        <f>K70*708*428*3/1000000000</f>
        <v>3.1817520000000002E-2</v>
      </c>
      <c r="X70" s="43">
        <v>0</v>
      </c>
      <c r="Y70" s="21"/>
      <c r="Z70" s="21"/>
    </row>
    <row r="71" spans="1:26" ht="15" customHeight="1" thickBot="1">
      <c r="A71" s="702"/>
      <c r="B71" s="705"/>
      <c r="C71" s="708"/>
      <c r="D71" s="708"/>
      <c r="E71" s="708"/>
      <c r="F71" s="708"/>
      <c r="G71" s="45" t="s">
        <v>134</v>
      </c>
      <c r="H71" s="45" t="s">
        <v>135</v>
      </c>
      <c r="I71" s="46">
        <f>F65</f>
        <v>1</v>
      </c>
      <c r="J71" s="697"/>
      <c r="K71" s="47">
        <f>I71*J65</f>
        <v>35</v>
      </c>
      <c r="L71" s="33" t="s">
        <v>136</v>
      </c>
      <c r="M71" s="34" t="s">
        <v>137</v>
      </c>
      <c r="N71" s="34">
        <v>1</v>
      </c>
      <c r="R71" s="37">
        <f>K71*88*417/1000000/0.9</f>
        <v>1.4270666666666665</v>
      </c>
      <c r="S71" s="38">
        <f>K71*((88+417)+10)/1000</f>
        <v>18.024999999999999</v>
      </c>
      <c r="T71" s="38">
        <f t="shared" si="2"/>
        <v>18.024999999999999</v>
      </c>
      <c r="U71" s="38"/>
      <c r="V71" s="700"/>
      <c r="W71" s="39">
        <f>K71*88*417*16/1000000000</f>
        <v>2.054976E-2</v>
      </c>
      <c r="X71" s="43">
        <v>1</v>
      </c>
      <c r="Y71" s="21"/>
      <c r="Z71" s="21"/>
    </row>
    <row r="72" spans="1:26" ht="15" customHeight="1">
      <c r="A72" s="702"/>
      <c r="B72" s="705"/>
      <c r="C72" s="684">
        <v>600</v>
      </c>
      <c r="D72" s="684">
        <v>300</v>
      </c>
      <c r="E72" s="684">
        <v>720</v>
      </c>
      <c r="F72" s="684">
        <v>1</v>
      </c>
      <c r="G72" s="77" t="s">
        <v>227</v>
      </c>
      <c r="H72" s="77" t="s">
        <v>228</v>
      </c>
      <c r="I72" s="78">
        <f>F72</f>
        <v>1</v>
      </c>
      <c r="J72" s="695">
        <v>30</v>
      </c>
      <c r="K72" s="32">
        <f>I72*J72</f>
        <v>30</v>
      </c>
      <c r="L72" s="33" t="s">
        <v>229</v>
      </c>
      <c r="M72" s="34" t="s">
        <v>230</v>
      </c>
      <c r="N72" s="34">
        <v>1</v>
      </c>
      <c r="R72" s="37">
        <f>K72*300*720/1000000/0.9</f>
        <v>7.2</v>
      </c>
      <c r="S72" s="38">
        <f>K72*((300+720)*2+40)/1000</f>
        <v>62.4</v>
      </c>
      <c r="T72" s="38">
        <f t="shared" si="2"/>
        <v>21.6</v>
      </c>
      <c r="U72" s="38">
        <f t="shared" si="3"/>
        <v>40.799999999999997</v>
      </c>
      <c r="V72" s="698">
        <f>J72*11</f>
        <v>330</v>
      </c>
      <c r="W72" s="39">
        <f>K72*300*720*16/1000000000</f>
        <v>0.10367999999999999</v>
      </c>
      <c r="X72" s="43">
        <v>1</v>
      </c>
      <c r="Y72" s="21"/>
      <c r="Z72" s="21"/>
    </row>
    <row r="73" spans="1:26" ht="15" customHeight="1">
      <c r="A73" s="702"/>
      <c r="B73" s="705"/>
      <c r="C73" s="684"/>
      <c r="D73" s="684"/>
      <c r="E73" s="684"/>
      <c r="F73" s="684"/>
      <c r="G73" s="34" t="s">
        <v>231</v>
      </c>
      <c r="H73" s="34" t="s">
        <v>232</v>
      </c>
      <c r="I73" s="40">
        <f>F72</f>
        <v>1</v>
      </c>
      <c r="J73" s="696"/>
      <c r="K73" s="32">
        <f>I73*J72</f>
        <v>30</v>
      </c>
      <c r="L73" s="33" t="s">
        <v>233</v>
      </c>
      <c r="M73" s="34" t="s">
        <v>234</v>
      </c>
      <c r="N73" s="34">
        <v>1</v>
      </c>
      <c r="R73" s="37">
        <f>K73*300*720/1000000/0.9</f>
        <v>7.2</v>
      </c>
      <c r="S73" s="38">
        <f>K73*((300+720)*2+40)/1000</f>
        <v>62.4</v>
      </c>
      <c r="T73" s="38">
        <f t="shared" si="2"/>
        <v>21.6</v>
      </c>
      <c r="U73" s="38">
        <f t="shared" si="3"/>
        <v>40.799999999999997</v>
      </c>
      <c r="V73" s="699"/>
      <c r="W73" s="39">
        <f>K73*300*720*16/1000000000</f>
        <v>0.10367999999999999</v>
      </c>
      <c r="X73" s="43">
        <v>1</v>
      </c>
      <c r="Y73" s="21"/>
      <c r="Z73" s="21"/>
    </row>
    <row r="74" spans="1:26" ht="15" customHeight="1">
      <c r="A74" s="702"/>
      <c r="B74" s="705"/>
      <c r="C74" s="684"/>
      <c r="D74" s="684"/>
      <c r="E74" s="684"/>
      <c r="F74" s="684"/>
      <c r="G74" s="34" t="s">
        <v>251</v>
      </c>
      <c r="H74" s="34" t="s">
        <v>252</v>
      </c>
      <c r="I74" s="40">
        <f>F72</f>
        <v>1</v>
      </c>
      <c r="J74" s="696"/>
      <c r="K74" s="32">
        <f>I74*J72</f>
        <v>30</v>
      </c>
      <c r="L74" s="33" t="s">
        <v>253</v>
      </c>
      <c r="M74" s="34" t="s">
        <v>254</v>
      </c>
      <c r="N74" s="34">
        <v>1</v>
      </c>
      <c r="R74" s="37">
        <f>K74*300*720/1000000/0.9</f>
        <v>7.2</v>
      </c>
      <c r="S74" s="38">
        <f>K74*((300+720)*2+40)/1000</f>
        <v>62.4</v>
      </c>
      <c r="T74" s="38">
        <f t="shared" si="2"/>
        <v>17.009999999999998</v>
      </c>
      <c r="U74" s="38">
        <f>S74-0.567*K74</f>
        <v>45.39</v>
      </c>
      <c r="V74" s="699"/>
      <c r="W74" s="39">
        <f>K74*300*720*16/1000000000</f>
        <v>0.10367999999999999</v>
      </c>
      <c r="X74" s="43">
        <v>0</v>
      </c>
      <c r="Y74" s="21"/>
      <c r="Z74" s="21"/>
    </row>
    <row r="75" spans="1:26" ht="15" customHeight="1">
      <c r="A75" s="702"/>
      <c r="B75" s="705"/>
      <c r="C75" s="684"/>
      <c r="D75" s="684"/>
      <c r="E75" s="684"/>
      <c r="F75" s="684"/>
      <c r="G75" s="34" t="s">
        <v>255</v>
      </c>
      <c r="H75" s="34" t="s">
        <v>256</v>
      </c>
      <c r="I75" s="40">
        <f>F72</f>
        <v>1</v>
      </c>
      <c r="J75" s="696"/>
      <c r="K75" s="32">
        <f>I75*J72</f>
        <v>30</v>
      </c>
      <c r="L75" s="33" t="s">
        <v>257</v>
      </c>
      <c r="M75" s="34" t="s">
        <v>258</v>
      </c>
      <c r="N75" s="34">
        <v>1</v>
      </c>
      <c r="R75" s="37">
        <f>K75*277*567/1000000/0.9</f>
        <v>5.2352999999999996</v>
      </c>
      <c r="S75" s="38">
        <f>K75*((277+567)*2+40)/1000</f>
        <v>51.84</v>
      </c>
      <c r="T75" s="38">
        <f t="shared" si="2"/>
        <v>17.009999999999998</v>
      </c>
      <c r="U75" s="38">
        <f>S75-0.567*K75</f>
        <v>34.830000000000005</v>
      </c>
      <c r="V75" s="699"/>
      <c r="W75" s="39">
        <f>K75*277*567*16/1000000000</f>
        <v>7.5388319999999995E-2</v>
      </c>
      <c r="X75" s="43">
        <v>0</v>
      </c>
      <c r="Y75" s="21"/>
      <c r="Z75" s="21"/>
    </row>
    <row r="76" spans="1:26" ht="15" customHeight="1">
      <c r="A76" s="702"/>
      <c r="B76" s="705"/>
      <c r="C76" s="684"/>
      <c r="D76" s="684"/>
      <c r="E76" s="684"/>
      <c r="F76" s="684"/>
      <c r="G76" s="34" t="s">
        <v>259</v>
      </c>
      <c r="H76" s="34" t="s">
        <v>260</v>
      </c>
      <c r="I76" s="40">
        <f>F72</f>
        <v>1</v>
      </c>
      <c r="J76" s="696"/>
      <c r="K76" s="32">
        <f>I76*J72</f>
        <v>30</v>
      </c>
      <c r="L76" s="33" t="s">
        <v>261</v>
      </c>
      <c r="M76" s="34" t="s">
        <v>262</v>
      </c>
      <c r="N76" s="34">
        <v>1</v>
      </c>
      <c r="R76" s="37">
        <f>K76*254*566/1000000/0.9</f>
        <v>4.7921333333333331</v>
      </c>
      <c r="S76" s="38">
        <f>K76*((254+566)*2+40)/1000</f>
        <v>50.4</v>
      </c>
      <c r="T76" s="38">
        <f t="shared" si="2"/>
        <v>16.979999999999997</v>
      </c>
      <c r="U76" s="38">
        <f>S76-0.566*K76</f>
        <v>33.42</v>
      </c>
      <c r="V76" s="699"/>
      <c r="W76" s="39">
        <f>K76*254*566*16/1000000000</f>
        <v>6.9006719999999994E-2</v>
      </c>
      <c r="X76" s="43">
        <v>0</v>
      </c>
      <c r="Y76" s="21"/>
      <c r="Z76" s="21"/>
    </row>
    <row r="77" spans="1:26" ht="15" customHeight="1">
      <c r="A77" s="702"/>
      <c r="B77" s="705"/>
      <c r="C77" s="684"/>
      <c r="D77" s="684"/>
      <c r="E77" s="684"/>
      <c r="F77" s="684"/>
      <c r="G77" s="34" t="s">
        <v>263</v>
      </c>
      <c r="H77" s="34" t="s">
        <v>264</v>
      </c>
      <c r="I77" s="40">
        <f>F72</f>
        <v>1</v>
      </c>
      <c r="J77" s="696"/>
      <c r="K77" s="32">
        <f>I77*J72</f>
        <v>30</v>
      </c>
      <c r="L77" s="33" t="s">
        <v>265</v>
      </c>
      <c r="M77" s="34" t="s">
        <v>266</v>
      </c>
      <c r="N77" s="34">
        <v>1</v>
      </c>
      <c r="R77" s="37">
        <f>K77*708*566/1000000/0.9</f>
        <v>13.357599999999998</v>
      </c>
      <c r="S77" s="38"/>
      <c r="T77" s="38"/>
      <c r="U77" s="38"/>
      <c r="V77" s="699"/>
      <c r="W77" s="39">
        <f>K77*708*578*3/1000000000</f>
        <v>3.6830160000000001E-2</v>
      </c>
      <c r="X77" s="43">
        <v>0</v>
      </c>
      <c r="Y77" s="21"/>
      <c r="Z77" s="21"/>
    </row>
    <row r="78" spans="1:26" ht="15" customHeight="1" thickBot="1">
      <c r="A78" s="703"/>
      <c r="B78" s="706"/>
      <c r="C78" s="685"/>
      <c r="D78" s="685"/>
      <c r="E78" s="685"/>
      <c r="F78" s="685"/>
      <c r="G78" s="45" t="s">
        <v>158</v>
      </c>
      <c r="H78" s="45" t="s">
        <v>159</v>
      </c>
      <c r="I78" s="46">
        <f>F72</f>
        <v>1</v>
      </c>
      <c r="J78" s="697"/>
      <c r="K78" s="47">
        <f>I78*J72</f>
        <v>30</v>
      </c>
      <c r="L78" s="33" t="s">
        <v>160</v>
      </c>
      <c r="M78" s="34" t="s">
        <v>161</v>
      </c>
      <c r="N78" s="34">
        <v>1</v>
      </c>
      <c r="R78" s="37">
        <f>K78*88*567/1000000/0.9</f>
        <v>1.6632</v>
      </c>
      <c r="S78" s="38">
        <f>K78*((560+720)+10)/1000</f>
        <v>38.700000000000003</v>
      </c>
      <c r="T78" s="38">
        <f t="shared" si="2"/>
        <v>17.009999999999998</v>
      </c>
      <c r="U78" s="38">
        <f>S78-0.567*K78</f>
        <v>21.690000000000005</v>
      </c>
      <c r="V78" s="700"/>
      <c r="W78" s="39">
        <f>K78*88*567*16/1000000000</f>
        <v>2.3950079999999999E-2</v>
      </c>
      <c r="X78" s="43">
        <v>1</v>
      </c>
      <c r="Y78" s="21"/>
      <c r="Z78" s="21"/>
    </row>
    <row r="79" spans="1:26" ht="15" customHeight="1">
      <c r="A79" s="701"/>
      <c r="B79" s="704" t="s">
        <v>319</v>
      </c>
      <c r="C79" s="683">
        <v>450</v>
      </c>
      <c r="D79" s="683">
        <v>300</v>
      </c>
      <c r="E79" s="683">
        <v>720</v>
      </c>
      <c r="F79" s="683">
        <v>1</v>
      </c>
      <c r="G79" s="30" t="s">
        <v>227</v>
      </c>
      <c r="H79" s="30" t="s">
        <v>228</v>
      </c>
      <c r="I79" s="31">
        <f>F79</f>
        <v>1</v>
      </c>
      <c r="J79" s="695">
        <v>35</v>
      </c>
      <c r="K79" s="32">
        <f>I79*J79</f>
        <v>35</v>
      </c>
      <c r="L79" s="33" t="s">
        <v>229</v>
      </c>
      <c r="M79" s="34" t="s">
        <v>230</v>
      </c>
      <c r="N79" s="34">
        <v>1</v>
      </c>
      <c r="R79" s="37">
        <f>K79*300*720/1000000/0.9</f>
        <v>8.3999999999999986</v>
      </c>
      <c r="S79" s="38">
        <f>K79*((300+720)*2+40)/1000</f>
        <v>72.8</v>
      </c>
      <c r="T79" s="38">
        <f t="shared" ref="T79:T83" si="11">S79-U79</f>
        <v>25.200000000000003</v>
      </c>
      <c r="U79" s="38">
        <f t="shared" ref="U79:U80" si="12">S79-0.72*K79</f>
        <v>47.599999999999994</v>
      </c>
      <c r="V79" s="698">
        <f>J79*11</f>
        <v>385</v>
      </c>
      <c r="W79" s="39">
        <f>K79*300*720*16/1000000000</f>
        <v>0.12096</v>
      </c>
      <c r="X79" s="43">
        <v>1</v>
      </c>
      <c r="Y79" s="21"/>
      <c r="Z79" s="21"/>
    </row>
    <row r="80" spans="1:26" ht="15" customHeight="1">
      <c r="A80" s="702"/>
      <c r="B80" s="705"/>
      <c r="C80" s="707"/>
      <c r="D80" s="707"/>
      <c r="E80" s="707"/>
      <c r="F80" s="707"/>
      <c r="G80" s="34" t="s">
        <v>231</v>
      </c>
      <c r="H80" s="34" t="s">
        <v>232</v>
      </c>
      <c r="I80" s="40">
        <f>F79</f>
        <v>1</v>
      </c>
      <c r="J80" s="696"/>
      <c r="K80" s="32">
        <f>I80*J79</f>
        <v>35</v>
      </c>
      <c r="L80" s="33" t="s">
        <v>233</v>
      </c>
      <c r="M80" s="34" t="s">
        <v>234</v>
      </c>
      <c r="N80" s="34">
        <v>1</v>
      </c>
      <c r="R80" s="37">
        <f>K80*300*720/1000000/0.9</f>
        <v>8.3999999999999986</v>
      </c>
      <c r="S80" s="38">
        <f>K80*((300+720)*2+40)/1000</f>
        <v>72.8</v>
      </c>
      <c r="T80" s="38">
        <f t="shared" si="11"/>
        <v>25.200000000000003</v>
      </c>
      <c r="U80" s="38">
        <f t="shared" si="12"/>
        <v>47.599999999999994</v>
      </c>
      <c r="V80" s="699"/>
      <c r="W80" s="39">
        <f>K80*300*720*16/1000000000</f>
        <v>0.12096</v>
      </c>
      <c r="X80" s="43">
        <v>1</v>
      </c>
      <c r="Y80" s="21"/>
      <c r="Z80" s="21"/>
    </row>
    <row r="81" spans="1:26" ht="15" customHeight="1">
      <c r="A81" s="702"/>
      <c r="B81" s="705"/>
      <c r="C81" s="707"/>
      <c r="D81" s="707"/>
      <c r="E81" s="707"/>
      <c r="F81" s="707"/>
      <c r="G81" s="34" t="s">
        <v>235</v>
      </c>
      <c r="H81" s="34" t="s">
        <v>236</v>
      </c>
      <c r="I81" s="40">
        <f>F79</f>
        <v>1</v>
      </c>
      <c r="J81" s="696"/>
      <c r="K81" s="32">
        <f>I81*J79</f>
        <v>35</v>
      </c>
      <c r="L81" s="33" t="s">
        <v>237</v>
      </c>
      <c r="M81" s="34" t="s">
        <v>238</v>
      </c>
      <c r="N81" s="34">
        <v>1</v>
      </c>
      <c r="R81" s="37">
        <f>K81*300*417/1000000/0.9</f>
        <v>4.8649999999999993</v>
      </c>
      <c r="S81" s="38">
        <f>K81*((300+417)*2+40)/1000</f>
        <v>51.59</v>
      </c>
      <c r="T81" s="38">
        <f t="shared" si="11"/>
        <v>14.594999999999999</v>
      </c>
      <c r="U81" s="38">
        <f>S81-0.417*K81</f>
        <v>36.995000000000005</v>
      </c>
      <c r="V81" s="699"/>
      <c r="W81" s="39">
        <f>K81*300*417*16/1000000000</f>
        <v>7.0055999999999993E-2</v>
      </c>
      <c r="X81" s="43">
        <v>0</v>
      </c>
      <c r="Y81" s="21"/>
      <c r="Z81" s="21"/>
    </row>
    <row r="82" spans="1:26" ht="15" customHeight="1">
      <c r="A82" s="702"/>
      <c r="B82" s="705"/>
      <c r="C82" s="707"/>
      <c r="D82" s="707"/>
      <c r="E82" s="707"/>
      <c r="F82" s="707"/>
      <c r="G82" s="34" t="s">
        <v>239</v>
      </c>
      <c r="H82" s="34" t="s">
        <v>240</v>
      </c>
      <c r="I82" s="40">
        <f>F79</f>
        <v>1</v>
      </c>
      <c r="J82" s="696"/>
      <c r="K82" s="32">
        <f>I82*J79</f>
        <v>35</v>
      </c>
      <c r="L82" s="33" t="s">
        <v>241</v>
      </c>
      <c r="M82" s="34" t="s">
        <v>242</v>
      </c>
      <c r="N82" s="34">
        <v>1</v>
      </c>
      <c r="R82" s="37">
        <f>K82*277*417/1000000/0.9</f>
        <v>4.4920166666666663</v>
      </c>
      <c r="S82" s="38">
        <f>K82*((277+417)*2+40)/1000</f>
        <v>49.98</v>
      </c>
      <c r="T82" s="38">
        <f t="shared" si="11"/>
        <v>14.594999999999999</v>
      </c>
      <c r="U82" s="38">
        <f>S82-0.417*K82</f>
        <v>35.384999999999998</v>
      </c>
      <c r="V82" s="699"/>
      <c r="W82" s="39">
        <f>K82*277*417*16/1000000000</f>
        <v>6.4685039999999999E-2</v>
      </c>
      <c r="X82" s="43">
        <v>0</v>
      </c>
      <c r="Y82" s="21"/>
      <c r="Z82" s="21"/>
    </row>
    <row r="83" spans="1:26" ht="15" customHeight="1">
      <c r="A83" s="702"/>
      <c r="B83" s="705"/>
      <c r="C83" s="707"/>
      <c r="D83" s="707"/>
      <c r="E83" s="707"/>
      <c r="F83" s="707"/>
      <c r="G83" s="76" t="s">
        <v>303</v>
      </c>
      <c r="H83" s="76" t="s">
        <v>304</v>
      </c>
      <c r="I83" s="40">
        <f>F79</f>
        <v>1</v>
      </c>
      <c r="J83" s="696"/>
      <c r="K83" s="32">
        <f>I83*J79</f>
        <v>35</v>
      </c>
      <c r="L83" s="33" t="s">
        <v>245</v>
      </c>
      <c r="M83" s="34" t="s">
        <v>246</v>
      </c>
      <c r="N83" s="34">
        <v>1</v>
      </c>
      <c r="R83" s="37">
        <f>K83*254*416/1000000/0.9</f>
        <v>4.1091555555555557</v>
      </c>
      <c r="S83" s="38">
        <f>K83*((254+416)*2+40)/1000</f>
        <v>48.3</v>
      </c>
      <c r="T83" s="38">
        <f t="shared" si="11"/>
        <v>14.560000000000002</v>
      </c>
      <c r="U83" s="38">
        <f>S83-0.416*K83</f>
        <v>33.739999999999995</v>
      </c>
      <c r="V83" s="699"/>
      <c r="W83" s="39">
        <f>K83*254*416*16/1000000000</f>
        <v>5.9171840000000003E-2</v>
      </c>
      <c r="X83" s="43">
        <v>0</v>
      </c>
      <c r="Y83" s="21"/>
      <c r="Z83" s="21"/>
    </row>
    <row r="84" spans="1:26" ht="15" customHeight="1">
      <c r="A84" s="702"/>
      <c r="B84" s="705"/>
      <c r="C84" s="707"/>
      <c r="D84" s="707"/>
      <c r="E84" s="707"/>
      <c r="F84" s="707"/>
      <c r="G84" s="34" t="s">
        <v>247</v>
      </c>
      <c r="H84" s="34" t="s">
        <v>248</v>
      </c>
      <c r="I84" s="40">
        <f>F79</f>
        <v>1</v>
      </c>
      <c r="J84" s="696"/>
      <c r="K84" s="32">
        <f>I84*J79</f>
        <v>35</v>
      </c>
      <c r="L84" s="33" t="s">
        <v>249</v>
      </c>
      <c r="M84" s="34" t="s">
        <v>250</v>
      </c>
      <c r="N84" s="34">
        <v>1</v>
      </c>
      <c r="R84" s="37">
        <f>K84*708*428/1000000/0.9</f>
        <v>11.784266666666667</v>
      </c>
      <c r="S84" s="38"/>
      <c r="T84" s="38"/>
      <c r="U84" s="38"/>
      <c r="V84" s="699"/>
      <c r="W84" s="39">
        <f>K84*708*428*3/1000000000</f>
        <v>3.1817520000000002E-2</v>
      </c>
      <c r="X84" s="43">
        <v>0</v>
      </c>
      <c r="Y84" s="21"/>
      <c r="Z84" s="21"/>
    </row>
    <row r="85" spans="1:26" ht="15" customHeight="1" thickBot="1">
      <c r="A85" s="702"/>
      <c r="B85" s="705"/>
      <c r="C85" s="708"/>
      <c r="D85" s="708"/>
      <c r="E85" s="708"/>
      <c r="F85" s="708"/>
      <c r="G85" s="45" t="s">
        <v>134</v>
      </c>
      <c r="H85" s="45" t="s">
        <v>135</v>
      </c>
      <c r="I85" s="46">
        <f>F79</f>
        <v>1</v>
      </c>
      <c r="J85" s="697"/>
      <c r="K85" s="47">
        <f>I85*J79</f>
        <v>35</v>
      </c>
      <c r="L85" s="33" t="s">
        <v>136</v>
      </c>
      <c r="M85" s="34" t="s">
        <v>137</v>
      </c>
      <c r="N85" s="34">
        <v>1</v>
      </c>
      <c r="R85" s="37">
        <f>K85*88*417/1000000/0.9</f>
        <v>1.4270666666666665</v>
      </c>
      <c r="S85" s="38">
        <f>K85*((88+417)+10)/1000</f>
        <v>18.024999999999999</v>
      </c>
      <c r="T85" s="38">
        <f t="shared" ref="T85:T90" si="13">S85-U85</f>
        <v>18.024999999999999</v>
      </c>
      <c r="U85" s="38"/>
      <c r="V85" s="700"/>
      <c r="W85" s="39">
        <f>K85*88*417*16/1000000000</f>
        <v>2.054976E-2</v>
      </c>
      <c r="X85" s="43">
        <v>1</v>
      </c>
      <c r="Y85" s="21"/>
      <c r="Z85" s="21"/>
    </row>
    <row r="86" spans="1:26" ht="15" customHeight="1">
      <c r="A86" s="702"/>
      <c r="B86" s="705"/>
      <c r="C86" s="684">
        <v>600</v>
      </c>
      <c r="D86" s="684">
        <v>300</v>
      </c>
      <c r="E86" s="684">
        <v>720</v>
      </c>
      <c r="F86" s="684">
        <v>1</v>
      </c>
      <c r="G86" s="77" t="s">
        <v>227</v>
      </c>
      <c r="H86" s="77" t="s">
        <v>228</v>
      </c>
      <c r="I86" s="78">
        <f>F86</f>
        <v>1</v>
      </c>
      <c r="J86" s="695">
        <v>30</v>
      </c>
      <c r="K86" s="32">
        <f>I86*J86</f>
        <v>30</v>
      </c>
      <c r="L86" s="33" t="s">
        <v>229</v>
      </c>
      <c r="M86" s="34" t="s">
        <v>230</v>
      </c>
      <c r="N86" s="34">
        <v>1</v>
      </c>
      <c r="R86" s="37">
        <f>K86*300*720/1000000/0.9</f>
        <v>7.2</v>
      </c>
      <c r="S86" s="38">
        <f>K86*((300+720)*2+40)/1000</f>
        <v>62.4</v>
      </c>
      <c r="T86" s="38">
        <f t="shared" si="13"/>
        <v>21.6</v>
      </c>
      <c r="U86" s="38">
        <f t="shared" ref="U86:U87" si="14">S86-0.72*K86</f>
        <v>40.799999999999997</v>
      </c>
      <c r="V86" s="698">
        <f>J86*11</f>
        <v>330</v>
      </c>
      <c r="W86" s="39">
        <f>K86*300*720*16/1000000000</f>
        <v>0.10367999999999999</v>
      </c>
      <c r="X86" s="43">
        <v>1</v>
      </c>
      <c r="Y86" s="21"/>
      <c r="Z86" s="21"/>
    </row>
    <row r="87" spans="1:26" ht="15" customHeight="1">
      <c r="A87" s="702"/>
      <c r="B87" s="705"/>
      <c r="C87" s="684"/>
      <c r="D87" s="684"/>
      <c r="E87" s="684"/>
      <c r="F87" s="684"/>
      <c r="G87" s="34" t="s">
        <v>231</v>
      </c>
      <c r="H87" s="34" t="s">
        <v>232</v>
      </c>
      <c r="I87" s="40">
        <f>F86</f>
        <v>1</v>
      </c>
      <c r="J87" s="696"/>
      <c r="K87" s="32">
        <f>I87*J86</f>
        <v>30</v>
      </c>
      <c r="L87" s="33" t="s">
        <v>233</v>
      </c>
      <c r="M87" s="34" t="s">
        <v>234</v>
      </c>
      <c r="N87" s="34">
        <v>1</v>
      </c>
      <c r="R87" s="37">
        <f>K87*300*720/1000000/0.9</f>
        <v>7.2</v>
      </c>
      <c r="S87" s="38">
        <f>K87*((300+720)*2+40)/1000</f>
        <v>62.4</v>
      </c>
      <c r="T87" s="38">
        <f t="shared" si="13"/>
        <v>21.6</v>
      </c>
      <c r="U87" s="38">
        <f t="shared" si="14"/>
        <v>40.799999999999997</v>
      </c>
      <c r="V87" s="699"/>
      <c r="W87" s="39">
        <f>K87*300*720*16/1000000000</f>
        <v>0.10367999999999999</v>
      </c>
      <c r="X87" s="43">
        <v>1</v>
      </c>
      <c r="Y87" s="21"/>
      <c r="Z87" s="21"/>
    </row>
    <row r="88" spans="1:26" ht="15" customHeight="1">
      <c r="A88" s="702"/>
      <c r="B88" s="705"/>
      <c r="C88" s="684"/>
      <c r="D88" s="684"/>
      <c r="E88" s="684"/>
      <c r="F88" s="684"/>
      <c r="G88" s="34" t="s">
        <v>251</v>
      </c>
      <c r="H88" s="34" t="s">
        <v>252</v>
      </c>
      <c r="I88" s="40">
        <f>F86</f>
        <v>1</v>
      </c>
      <c r="J88" s="696"/>
      <c r="K88" s="32">
        <f>I88*J86</f>
        <v>30</v>
      </c>
      <c r="L88" s="33" t="s">
        <v>253</v>
      </c>
      <c r="M88" s="34" t="s">
        <v>254</v>
      </c>
      <c r="N88" s="34">
        <v>1</v>
      </c>
      <c r="R88" s="37">
        <f>K88*300*720/1000000/0.9</f>
        <v>7.2</v>
      </c>
      <c r="S88" s="38">
        <f>K88*((300+720)*2+40)/1000</f>
        <v>62.4</v>
      </c>
      <c r="T88" s="38">
        <f t="shared" si="13"/>
        <v>17.009999999999998</v>
      </c>
      <c r="U88" s="38">
        <f>S88-0.567*K88</f>
        <v>45.39</v>
      </c>
      <c r="V88" s="699"/>
      <c r="W88" s="39">
        <f>K88*300*720*16/1000000000</f>
        <v>0.10367999999999999</v>
      </c>
      <c r="X88" s="43">
        <v>0</v>
      </c>
      <c r="Y88" s="21"/>
      <c r="Z88" s="21"/>
    </row>
    <row r="89" spans="1:26" ht="15" customHeight="1">
      <c r="A89" s="702"/>
      <c r="B89" s="705"/>
      <c r="C89" s="684"/>
      <c r="D89" s="684"/>
      <c r="E89" s="684"/>
      <c r="F89" s="684"/>
      <c r="G89" s="34" t="s">
        <v>255</v>
      </c>
      <c r="H89" s="34" t="s">
        <v>256</v>
      </c>
      <c r="I89" s="40">
        <f>F86</f>
        <v>1</v>
      </c>
      <c r="J89" s="696"/>
      <c r="K89" s="32">
        <f>I89*J86</f>
        <v>30</v>
      </c>
      <c r="L89" s="33" t="s">
        <v>257</v>
      </c>
      <c r="M89" s="34" t="s">
        <v>258</v>
      </c>
      <c r="N89" s="34">
        <v>1</v>
      </c>
      <c r="R89" s="37">
        <f>K89*277*567/1000000/0.9</f>
        <v>5.2352999999999996</v>
      </c>
      <c r="S89" s="38">
        <f>K89*((277+567)*2+40)/1000</f>
        <v>51.84</v>
      </c>
      <c r="T89" s="38">
        <f t="shared" si="13"/>
        <v>17.009999999999998</v>
      </c>
      <c r="U89" s="38">
        <f>S89-0.567*K89</f>
        <v>34.830000000000005</v>
      </c>
      <c r="V89" s="699"/>
      <c r="W89" s="39">
        <f>K89*277*567*16/1000000000</f>
        <v>7.5388319999999995E-2</v>
      </c>
      <c r="X89" s="43">
        <v>0</v>
      </c>
      <c r="Y89" s="21"/>
      <c r="Z89" s="21"/>
    </row>
    <row r="90" spans="1:26" ht="15" customHeight="1">
      <c r="A90" s="702"/>
      <c r="B90" s="705"/>
      <c r="C90" s="684"/>
      <c r="D90" s="684"/>
      <c r="E90" s="684"/>
      <c r="F90" s="684"/>
      <c r="G90" s="76" t="s">
        <v>305</v>
      </c>
      <c r="H90" s="76" t="s">
        <v>306</v>
      </c>
      <c r="I90" s="40">
        <f>F86</f>
        <v>1</v>
      </c>
      <c r="J90" s="696"/>
      <c r="K90" s="32">
        <f>I90*J86</f>
        <v>30</v>
      </c>
      <c r="L90" s="33" t="s">
        <v>261</v>
      </c>
      <c r="M90" s="34" t="s">
        <v>262</v>
      </c>
      <c r="N90" s="34">
        <v>1</v>
      </c>
      <c r="R90" s="37">
        <f>K90*254*566/1000000/0.9</f>
        <v>4.7921333333333331</v>
      </c>
      <c r="S90" s="38">
        <f>K90*((254+566)*2+40)/1000</f>
        <v>50.4</v>
      </c>
      <c r="T90" s="38">
        <f t="shared" si="13"/>
        <v>16.979999999999997</v>
      </c>
      <c r="U90" s="38">
        <f>S90-0.566*K90</f>
        <v>33.42</v>
      </c>
      <c r="V90" s="699"/>
      <c r="W90" s="39">
        <f>K90*254*566*16/1000000000</f>
        <v>6.9006719999999994E-2</v>
      </c>
      <c r="X90" s="43">
        <v>0</v>
      </c>
      <c r="Y90" s="21"/>
      <c r="Z90" s="21"/>
    </row>
    <row r="91" spans="1:26" ht="15" customHeight="1">
      <c r="A91" s="702"/>
      <c r="B91" s="705"/>
      <c r="C91" s="684"/>
      <c r="D91" s="684"/>
      <c r="E91" s="684"/>
      <c r="F91" s="684"/>
      <c r="G91" s="34" t="s">
        <v>263</v>
      </c>
      <c r="H91" s="34" t="s">
        <v>264</v>
      </c>
      <c r="I91" s="40">
        <f>F86</f>
        <v>1</v>
      </c>
      <c r="J91" s="696"/>
      <c r="K91" s="32">
        <f>I91*J86</f>
        <v>30</v>
      </c>
      <c r="L91" s="33" t="s">
        <v>265</v>
      </c>
      <c r="M91" s="34" t="s">
        <v>266</v>
      </c>
      <c r="N91" s="34">
        <v>1</v>
      </c>
      <c r="R91" s="37">
        <f>K91*708*566/1000000/0.9</f>
        <v>13.357599999999998</v>
      </c>
      <c r="S91" s="38"/>
      <c r="T91" s="38"/>
      <c r="U91" s="38"/>
      <c r="V91" s="699"/>
      <c r="W91" s="39">
        <f>K91*708*578*3/1000000000</f>
        <v>3.6830160000000001E-2</v>
      </c>
      <c r="X91" s="43">
        <v>0</v>
      </c>
      <c r="Y91" s="21"/>
      <c r="Z91" s="21"/>
    </row>
    <row r="92" spans="1:26" ht="15" customHeight="1" thickBot="1">
      <c r="A92" s="703"/>
      <c r="B92" s="706"/>
      <c r="C92" s="685"/>
      <c r="D92" s="685"/>
      <c r="E92" s="685"/>
      <c r="F92" s="685"/>
      <c r="G92" s="45" t="s">
        <v>158</v>
      </c>
      <c r="H92" s="45" t="s">
        <v>159</v>
      </c>
      <c r="I92" s="46">
        <f>F86</f>
        <v>1</v>
      </c>
      <c r="J92" s="697"/>
      <c r="K92" s="47">
        <f>I92*J86</f>
        <v>30</v>
      </c>
      <c r="L92" s="33" t="s">
        <v>160</v>
      </c>
      <c r="M92" s="34" t="s">
        <v>161</v>
      </c>
      <c r="N92" s="34">
        <v>1</v>
      </c>
      <c r="R92" s="37">
        <f>K92*88*567/1000000/0.9</f>
        <v>1.6632</v>
      </c>
      <c r="S92" s="38">
        <f>K92*((560+720)+10)/1000</f>
        <v>38.700000000000003</v>
      </c>
      <c r="T92" s="38">
        <f t="shared" ref="T92" si="15">S92-U92</f>
        <v>17.009999999999998</v>
      </c>
      <c r="U92" s="38">
        <f>S92-0.567*K92</f>
        <v>21.690000000000005</v>
      </c>
      <c r="V92" s="700"/>
      <c r="W92" s="39">
        <f>K92*88*567*16/1000000000</f>
        <v>2.3950079999999999E-2</v>
      </c>
      <c r="X92" s="43">
        <v>1</v>
      </c>
      <c r="Y92" s="21"/>
      <c r="Z92" s="21"/>
    </row>
    <row r="93" spans="1:26" ht="15" customHeight="1">
      <c r="A93" s="701"/>
      <c r="B93" s="704" t="s">
        <v>321</v>
      </c>
      <c r="C93" s="683">
        <v>900</v>
      </c>
      <c r="D93" s="683">
        <v>300</v>
      </c>
      <c r="E93" s="683">
        <v>720</v>
      </c>
      <c r="F93" s="683">
        <v>1</v>
      </c>
      <c r="G93" s="30" t="s">
        <v>227</v>
      </c>
      <c r="H93" s="30" t="s">
        <v>228</v>
      </c>
      <c r="I93" s="31">
        <f>F93</f>
        <v>1</v>
      </c>
      <c r="J93" s="695">
        <v>40</v>
      </c>
      <c r="K93" s="32">
        <f>I93*J93</f>
        <v>40</v>
      </c>
      <c r="L93" s="33" t="s">
        <v>229</v>
      </c>
      <c r="M93" s="34" t="s">
        <v>230</v>
      </c>
      <c r="N93" s="34">
        <v>1</v>
      </c>
      <c r="R93" s="37">
        <f>K93*300*720/1000000/0.9</f>
        <v>9.6</v>
      </c>
      <c r="S93" s="38">
        <f>K93*((300+720)*2+40)/1000</f>
        <v>83.2</v>
      </c>
      <c r="T93" s="38">
        <f t="shared" si="2"/>
        <v>28.799999999999997</v>
      </c>
      <c r="U93" s="38">
        <f t="shared" si="3"/>
        <v>54.400000000000006</v>
      </c>
      <c r="V93" s="698">
        <f>J93*11</f>
        <v>440</v>
      </c>
      <c r="W93" s="39">
        <f>K93*300*720*16/1000000000</f>
        <v>0.13824</v>
      </c>
      <c r="X93" s="43">
        <v>1</v>
      </c>
      <c r="Y93" s="21"/>
      <c r="Z93" s="21"/>
    </row>
    <row r="94" spans="1:26" ht="15" customHeight="1">
      <c r="A94" s="702"/>
      <c r="B94" s="705"/>
      <c r="C94" s="684"/>
      <c r="D94" s="684"/>
      <c r="E94" s="684"/>
      <c r="F94" s="684"/>
      <c r="G94" s="34" t="s">
        <v>231</v>
      </c>
      <c r="H94" s="34" t="s">
        <v>232</v>
      </c>
      <c r="I94" s="40">
        <f>F93</f>
        <v>1</v>
      </c>
      <c r="J94" s="696"/>
      <c r="K94" s="32">
        <f>I94*J93</f>
        <v>40</v>
      </c>
      <c r="L94" s="33" t="s">
        <v>233</v>
      </c>
      <c r="M94" s="34" t="s">
        <v>234</v>
      </c>
      <c r="N94" s="34">
        <v>1</v>
      </c>
      <c r="R94" s="37">
        <f>K94*300*720/1000000/0.9</f>
        <v>9.6</v>
      </c>
      <c r="S94" s="38">
        <f>K94*((300+720)*2+40)/1000</f>
        <v>83.2</v>
      </c>
      <c r="T94" s="38">
        <f t="shared" si="2"/>
        <v>28.799999999999997</v>
      </c>
      <c r="U94" s="38">
        <f t="shared" si="3"/>
        <v>54.400000000000006</v>
      </c>
      <c r="V94" s="699"/>
      <c r="W94" s="39">
        <f>K94*300*720*16/1000000000</f>
        <v>0.13824</v>
      </c>
      <c r="X94" s="43">
        <v>1</v>
      </c>
      <c r="Y94" s="21"/>
      <c r="Z94" s="21"/>
    </row>
    <row r="95" spans="1:26" ht="15" customHeight="1">
      <c r="A95" s="702"/>
      <c r="B95" s="705"/>
      <c r="C95" s="684"/>
      <c r="D95" s="684"/>
      <c r="E95" s="684"/>
      <c r="F95" s="684"/>
      <c r="G95" s="34" t="s">
        <v>268</v>
      </c>
      <c r="H95" s="34" t="s">
        <v>269</v>
      </c>
      <c r="I95" s="40">
        <f>F93</f>
        <v>1</v>
      </c>
      <c r="J95" s="696"/>
      <c r="K95" s="32">
        <f>I95*J93</f>
        <v>40</v>
      </c>
      <c r="L95" s="33" t="s">
        <v>270</v>
      </c>
      <c r="M95" s="34" t="s">
        <v>271</v>
      </c>
      <c r="N95" s="34">
        <v>1</v>
      </c>
      <c r="R95" s="37">
        <f>K95*300*867/1000000/0.9</f>
        <v>11.56</v>
      </c>
      <c r="S95" s="38">
        <f>K95*((300+867)*2+40)/1000</f>
        <v>94.96</v>
      </c>
      <c r="T95" s="38">
        <f t="shared" si="2"/>
        <v>34.68</v>
      </c>
      <c r="U95" s="38">
        <f>S95-0.867*K95</f>
        <v>60.279999999999994</v>
      </c>
      <c r="V95" s="699"/>
      <c r="W95" s="39">
        <f>K95*300*867*16/1000000000</f>
        <v>0.166464</v>
      </c>
      <c r="X95" s="43">
        <v>1</v>
      </c>
      <c r="Y95" s="21"/>
      <c r="Z95" s="21"/>
    </row>
    <row r="96" spans="1:26" ht="15" customHeight="1">
      <c r="A96" s="702"/>
      <c r="B96" s="705"/>
      <c r="C96" s="684"/>
      <c r="D96" s="684"/>
      <c r="E96" s="684"/>
      <c r="F96" s="684"/>
      <c r="G96" s="34" t="s">
        <v>272</v>
      </c>
      <c r="H96" s="34" t="s">
        <v>273</v>
      </c>
      <c r="I96" s="40">
        <f>F93</f>
        <v>1</v>
      </c>
      <c r="J96" s="696"/>
      <c r="K96" s="32">
        <f>I96*J93</f>
        <v>40</v>
      </c>
      <c r="L96" s="33" t="s">
        <v>274</v>
      </c>
      <c r="M96" s="34" t="s">
        <v>275</v>
      </c>
      <c r="N96" s="34">
        <v>1</v>
      </c>
      <c r="R96" s="37">
        <f>K96*277*867/1000000/0.9</f>
        <v>10.673733333333333</v>
      </c>
      <c r="S96" s="38">
        <f>K96*((277+867)*2+40)/1000</f>
        <v>93.12</v>
      </c>
      <c r="T96" s="38">
        <f t="shared" si="2"/>
        <v>34.68</v>
      </c>
      <c r="U96" s="38">
        <f>S96-0.867*K96</f>
        <v>58.440000000000005</v>
      </c>
      <c r="V96" s="699"/>
      <c r="W96" s="39">
        <f>K96*277*867*16/1000000000</f>
        <v>0.15370175999999999</v>
      </c>
      <c r="X96" s="43">
        <v>0</v>
      </c>
      <c r="Y96" s="21"/>
      <c r="Z96" s="21"/>
    </row>
    <row r="97" spans="1:26" ht="15" customHeight="1">
      <c r="A97" s="702"/>
      <c r="B97" s="705"/>
      <c r="C97" s="684"/>
      <c r="D97" s="684"/>
      <c r="E97" s="684"/>
      <c r="F97" s="684"/>
      <c r="G97" s="34" t="s">
        <v>276</v>
      </c>
      <c r="H97" s="34" t="s">
        <v>277</v>
      </c>
      <c r="I97" s="40">
        <f>F93</f>
        <v>1</v>
      </c>
      <c r="J97" s="696"/>
      <c r="K97" s="32">
        <f>I97*J93</f>
        <v>40</v>
      </c>
      <c r="L97" s="33" t="s">
        <v>278</v>
      </c>
      <c r="M97" s="34" t="s">
        <v>279</v>
      </c>
      <c r="N97" s="34">
        <v>1</v>
      </c>
      <c r="R97" s="37">
        <f>K97*254*866/1000000/0.9</f>
        <v>9.776177777777777</v>
      </c>
      <c r="S97" s="38">
        <f>K97*((254+866)*2+40)/1000</f>
        <v>91.2</v>
      </c>
      <c r="T97" s="38">
        <f t="shared" si="2"/>
        <v>34.64</v>
      </c>
      <c r="U97" s="38">
        <f>S97-0.866*K97</f>
        <v>56.56</v>
      </c>
      <c r="V97" s="699"/>
      <c r="W97" s="39">
        <f>K97*254*866*16/1000000000</f>
        <v>0.14077696000000001</v>
      </c>
      <c r="X97" s="43">
        <v>0</v>
      </c>
      <c r="Y97" s="21"/>
      <c r="Z97" s="21"/>
    </row>
    <row r="98" spans="1:26" ht="15" customHeight="1">
      <c r="A98" s="702"/>
      <c r="B98" s="705"/>
      <c r="C98" s="684"/>
      <c r="D98" s="684"/>
      <c r="E98" s="684"/>
      <c r="F98" s="684"/>
      <c r="G98" s="34" t="s">
        <v>280</v>
      </c>
      <c r="H98" s="34" t="s">
        <v>281</v>
      </c>
      <c r="I98" s="40">
        <f>F93</f>
        <v>1</v>
      </c>
      <c r="J98" s="696"/>
      <c r="K98" s="32">
        <f>I98*J93</f>
        <v>40</v>
      </c>
      <c r="L98" s="33" t="s">
        <v>282</v>
      </c>
      <c r="M98" s="34" t="s">
        <v>283</v>
      </c>
      <c r="N98" s="34">
        <v>1</v>
      </c>
      <c r="R98" s="37">
        <f>K98*708*878/1000000/0.9</f>
        <v>27.627733333333332</v>
      </c>
      <c r="S98" s="38"/>
      <c r="T98" s="38"/>
      <c r="U98" s="38"/>
      <c r="V98" s="699"/>
      <c r="W98" s="39">
        <f>K98*708*878*3/1000000000</f>
        <v>7.4594880000000002E-2</v>
      </c>
      <c r="X98" s="43">
        <v>0</v>
      </c>
      <c r="Y98" s="21"/>
      <c r="Z98" s="21"/>
    </row>
    <row r="99" spans="1:26" ht="15" customHeight="1" thickBot="1">
      <c r="A99" s="703"/>
      <c r="B99" s="706"/>
      <c r="C99" s="685"/>
      <c r="D99" s="685"/>
      <c r="E99" s="685"/>
      <c r="F99" s="685"/>
      <c r="G99" s="45" t="s">
        <v>284</v>
      </c>
      <c r="H99" s="45" t="s">
        <v>285</v>
      </c>
      <c r="I99" s="46">
        <f>F93</f>
        <v>1</v>
      </c>
      <c r="J99" s="696"/>
      <c r="K99" s="48">
        <f>I99*J93</f>
        <v>40</v>
      </c>
      <c r="L99" s="49" t="s">
        <v>286</v>
      </c>
      <c r="M99" s="50" t="s">
        <v>287</v>
      </c>
      <c r="N99" s="50">
        <v>1</v>
      </c>
      <c r="R99" s="37">
        <f>K99*88*867/1000000/0.9</f>
        <v>3.3909333333333329</v>
      </c>
      <c r="S99" s="38">
        <f>K99*((88+867)+10)/1000</f>
        <v>38.6</v>
      </c>
      <c r="T99" s="38">
        <f t="shared" si="2"/>
        <v>34.64</v>
      </c>
      <c r="U99" s="38">
        <f t="shared" ref="U99" si="16">S99-0.866*K99</f>
        <v>3.9600000000000009</v>
      </c>
      <c r="V99" s="700"/>
      <c r="W99" s="39">
        <f>K99*88*867*16/1000000000</f>
        <v>4.8829440000000002E-2</v>
      </c>
      <c r="X99" s="43">
        <v>1</v>
      </c>
      <c r="Y99" s="21"/>
      <c r="Z99" s="21"/>
    </row>
    <row r="100" spans="1:26" ht="15" customHeight="1">
      <c r="A100" s="701"/>
      <c r="B100" s="704" t="s">
        <v>267</v>
      </c>
      <c r="C100" s="683">
        <v>900</v>
      </c>
      <c r="D100" s="683">
        <v>300</v>
      </c>
      <c r="E100" s="683">
        <v>720</v>
      </c>
      <c r="F100" s="683">
        <v>1</v>
      </c>
      <c r="G100" s="30" t="s">
        <v>227</v>
      </c>
      <c r="H100" s="30" t="s">
        <v>228</v>
      </c>
      <c r="I100" s="31">
        <f>F100</f>
        <v>1</v>
      </c>
      <c r="J100" s="695">
        <v>40</v>
      </c>
      <c r="K100" s="32">
        <f>I100*J100</f>
        <v>40</v>
      </c>
      <c r="L100" s="33" t="s">
        <v>229</v>
      </c>
      <c r="M100" s="34" t="s">
        <v>230</v>
      </c>
      <c r="N100" s="34">
        <v>1</v>
      </c>
      <c r="R100" s="37">
        <f>K100*300*720/1000000/0.9</f>
        <v>9.6</v>
      </c>
      <c r="S100" s="38">
        <f>K100*((300+720)*2+40)/1000</f>
        <v>83.2</v>
      </c>
      <c r="T100" s="38">
        <f t="shared" ref="T100:T104" si="17">S100-U100</f>
        <v>28.799999999999997</v>
      </c>
      <c r="U100" s="38">
        <f t="shared" ref="U100:U101" si="18">S100-0.72*K100</f>
        <v>54.400000000000006</v>
      </c>
      <c r="V100" s="698">
        <f>J100*11</f>
        <v>440</v>
      </c>
      <c r="W100" s="39">
        <f>K100*300*720*16/1000000000</f>
        <v>0.13824</v>
      </c>
      <c r="X100" s="43">
        <v>1</v>
      </c>
      <c r="Y100" s="21"/>
      <c r="Z100" s="21"/>
    </row>
    <row r="101" spans="1:26" ht="15" customHeight="1">
      <c r="A101" s="702"/>
      <c r="B101" s="705"/>
      <c r="C101" s="684"/>
      <c r="D101" s="684"/>
      <c r="E101" s="684"/>
      <c r="F101" s="684"/>
      <c r="G101" s="34" t="s">
        <v>231</v>
      </c>
      <c r="H101" s="34" t="s">
        <v>232</v>
      </c>
      <c r="I101" s="40">
        <f>F100</f>
        <v>1</v>
      </c>
      <c r="J101" s="696"/>
      <c r="K101" s="32">
        <f>I101*J100</f>
        <v>40</v>
      </c>
      <c r="L101" s="33" t="s">
        <v>233</v>
      </c>
      <c r="M101" s="34" t="s">
        <v>234</v>
      </c>
      <c r="N101" s="34">
        <v>1</v>
      </c>
      <c r="R101" s="37">
        <f>K101*300*720/1000000/0.9</f>
        <v>9.6</v>
      </c>
      <c r="S101" s="38">
        <f>K101*((300+720)*2+40)/1000</f>
        <v>83.2</v>
      </c>
      <c r="T101" s="38">
        <f t="shared" si="17"/>
        <v>28.799999999999997</v>
      </c>
      <c r="U101" s="38">
        <f t="shared" si="18"/>
        <v>54.400000000000006</v>
      </c>
      <c r="V101" s="699"/>
      <c r="W101" s="39">
        <f>K101*300*720*16/1000000000</f>
        <v>0.13824</v>
      </c>
      <c r="X101" s="43">
        <v>1</v>
      </c>
      <c r="Y101" s="21"/>
      <c r="Z101" s="21"/>
    </row>
    <row r="102" spans="1:26" ht="15" customHeight="1">
      <c r="A102" s="702"/>
      <c r="B102" s="705"/>
      <c r="C102" s="684"/>
      <c r="D102" s="684"/>
      <c r="E102" s="684"/>
      <c r="F102" s="684"/>
      <c r="G102" s="34" t="s">
        <v>268</v>
      </c>
      <c r="H102" s="34" t="s">
        <v>269</v>
      </c>
      <c r="I102" s="40">
        <f>F100</f>
        <v>1</v>
      </c>
      <c r="J102" s="696"/>
      <c r="K102" s="32">
        <f>I102*J100</f>
        <v>40</v>
      </c>
      <c r="L102" s="33" t="s">
        <v>270</v>
      </c>
      <c r="M102" s="34" t="s">
        <v>271</v>
      </c>
      <c r="N102" s="34">
        <v>1</v>
      </c>
      <c r="R102" s="37">
        <f>K102*300*867/1000000/0.9</f>
        <v>11.56</v>
      </c>
      <c r="S102" s="38">
        <f>K102*((300+867)*2+40)/1000</f>
        <v>94.96</v>
      </c>
      <c r="T102" s="38">
        <f t="shared" si="17"/>
        <v>34.68</v>
      </c>
      <c r="U102" s="38">
        <f>S102-0.867*K102</f>
        <v>60.279999999999994</v>
      </c>
      <c r="V102" s="699"/>
      <c r="W102" s="39">
        <f>K102*300*867*16/1000000000</f>
        <v>0.166464</v>
      </c>
      <c r="X102" s="43">
        <v>1</v>
      </c>
      <c r="Y102" s="21"/>
      <c r="Z102" s="21"/>
    </row>
    <row r="103" spans="1:26" ht="15" customHeight="1">
      <c r="A103" s="702"/>
      <c r="B103" s="705"/>
      <c r="C103" s="684"/>
      <c r="D103" s="684"/>
      <c r="E103" s="684"/>
      <c r="F103" s="684"/>
      <c r="G103" s="34" t="s">
        <v>272</v>
      </c>
      <c r="H103" s="34" t="s">
        <v>273</v>
      </c>
      <c r="I103" s="40">
        <f>F100</f>
        <v>1</v>
      </c>
      <c r="J103" s="696"/>
      <c r="K103" s="32">
        <f>I103*J100</f>
        <v>40</v>
      </c>
      <c r="L103" s="33" t="s">
        <v>274</v>
      </c>
      <c r="M103" s="34" t="s">
        <v>275</v>
      </c>
      <c r="N103" s="34">
        <v>1</v>
      </c>
      <c r="R103" s="37">
        <f>K103*277*867/1000000/0.9</f>
        <v>10.673733333333333</v>
      </c>
      <c r="S103" s="38">
        <f>K103*((277+867)*2+40)/1000</f>
        <v>93.12</v>
      </c>
      <c r="T103" s="38">
        <f t="shared" si="17"/>
        <v>34.68</v>
      </c>
      <c r="U103" s="38">
        <f>S103-0.867*K103</f>
        <v>58.440000000000005</v>
      </c>
      <c r="V103" s="699"/>
      <c r="W103" s="39">
        <f>K103*277*867*16/1000000000</f>
        <v>0.15370175999999999</v>
      </c>
      <c r="X103" s="43">
        <v>0</v>
      </c>
      <c r="Y103" s="21"/>
      <c r="Z103" s="21"/>
    </row>
    <row r="104" spans="1:26" ht="15" customHeight="1">
      <c r="A104" s="702"/>
      <c r="B104" s="705"/>
      <c r="C104" s="684"/>
      <c r="D104" s="684"/>
      <c r="E104" s="684"/>
      <c r="F104" s="684"/>
      <c r="G104" s="76" t="s">
        <v>307</v>
      </c>
      <c r="H104" s="76" t="s">
        <v>308</v>
      </c>
      <c r="I104" s="40">
        <f>F100</f>
        <v>1</v>
      </c>
      <c r="J104" s="696"/>
      <c r="K104" s="32">
        <f>I104*J100</f>
        <v>40</v>
      </c>
      <c r="L104" s="33" t="s">
        <v>278</v>
      </c>
      <c r="M104" s="34" t="s">
        <v>279</v>
      </c>
      <c r="N104" s="34">
        <v>1</v>
      </c>
      <c r="R104" s="37">
        <f>K104*254*866/1000000/0.9</f>
        <v>9.776177777777777</v>
      </c>
      <c r="S104" s="38">
        <f>K104*((254+866)*2+40)/1000</f>
        <v>91.2</v>
      </c>
      <c r="T104" s="38">
        <f t="shared" si="17"/>
        <v>34.64</v>
      </c>
      <c r="U104" s="38">
        <f>S104-0.866*K104</f>
        <v>56.56</v>
      </c>
      <c r="V104" s="699"/>
      <c r="W104" s="39">
        <f>K104*254*866*16/1000000000</f>
        <v>0.14077696000000001</v>
      </c>
      <c r="X104" s="43">
        <v>0</v>
      </c>
      <c r="Y104" s="21"/>
      <c r="Z104" s="21"/>
    </row>
    <row r="105" spans="1:26" ht="15" customHeight="1">
      <c r="A105" s="702"/>
      <c r="B105" s="705"/>
      <c r="C105" s="684"/>
      <c r="D105" s="684"/>
      <c r="E105" s="684"/>
      <c r="F105" s="684"/>
      <c r="G105" s="34" t="s">
        <v>280</v>
      </c>
      <c r="H105" s="34" t="s">
        <v>281</v>
      </c>
      <c r="I105" s="40">
        <f>F100</f>
        <v>1</v>
      </c>
      <c r="J105" s="696"/>
      <c r="K105" s="32">
        <f>I105*J100</f>
        <v>40</v>
      </c>
      <c r="L105" s="33" t="s">
        <v>282</v>
      </c>
      <c r="M105" s="34" t="s">
        <v>283</v>
      </c>
      <c r="N105" s="34">
        <v>1</v>
      </c>
      <c r="R105" s="37">
        <f>K105*708*878/1000000/0.9</f>
        <v>27.627733333333332</v>
      </c>
      <c r="S105" s="38"/>
      <c r="T105" s="38"/>
      <c r="U105" s="38"/>
      <c r="V105" s="699"/>
      <c r="W105" s="39">
        <f>K105*708*878*3/1000000000</f>
        <v>7.4594880000000002E-2</v>
      </c>
      <c r="X105" s="43">
        <v>0</v>
      </c>
      <c r="Y105" s="21"/>
      <c r="Z105" s="21"/>
    </row>
    <row r="106" spans="1:26" ht="15" customHeight="1" thickBot="1">
      <c r="A106" s="703"/>
      <c r="B106" s="706"/>
      <c r="C106" s="685"/>
      <c r="D106" s="685"/>
      <c r="E106" s="685"/>
      <c r="F106" s="685"/>
      <c r="G106" s="45" t="s">
        <v>284</v>
      </c>
      <c r="H106" s="45" t="s">
        <v>285</v>
      </c>
      <c r="I106" s="46">
        <f>F100</f>
        <v>1</v>
      </c>
      <c r="J106" s="696"/>
      <c r="K106" s="48">
        <f>I106*J100</f>
        <v>40</v>
      </c>
      <c r="L106" s="49" t="s">
        <v>286</v>
      </c>
      <c r="M106" s="50" t="s">
        <v>287</v>
      </c>
      <c r="N106" s="50">
        <v>1</v>
      </c>
      <c r="R106" s="37">
        <f>K106*88*867/1000000/0.9</f>
        <v>3.3909333333333329</v>
      </c>
      <c r="S106" s="38">
        <f>K106*((88+867)+10)/1000</f>
        <v>38.6</v>
      </c>
      <c r="T106" s="38">
        <f t="shared" ref="T106" si="19">S106-U106</f>
        <v>34.64</v>
      </c>
      <c r="U106" s="38">
        <f t="shared" ref="U106" si="20">S106-0.866*K106</f>
        <v>3.9600000000000009</v>
      </c>
      <c r="V106" s="700"/>
      <c r="W106" s="39">
        <f>K106*88*867*16/1000000000</f>
        <v>4.8829440000000002E-2</v>
      </c>
      <c r="X106" s="43">
        <v>1</v>
      </c>
      <c r="Y106" s="21"/>
      <c r="Z106" s="21"/>
    </row>
    <row r="107" spans="1:26" customFormat="1" ht="15" customHeight="1">
      <c r="A107" s="701"/>
      <c r="B107" s="704" t="s">
        <v>309</v>
      </c>
      <c r="C107" s="683">
        <v>900</v>
      </c>
      <c r="D107" s="683">
        <v>300</v>
      </c>
      <c r="E107" s="683">
        <v>720</v>
      </c>
      <c r="F107" s="728">
        <v>1</v>
      </c>
      <c r="G107" s="69" t="s">
        <v>310</v>
      </c>
      <c r="H107" s="69" t="s">
        <v>311</v>
      </c>
      <c r="I107" s="70">
        <f>F107</f>
        <v>1</v>
      </c>
      <c r="J107" s="68" t="e">
        <f>I107*#REF!</f>
        <v>#REF!</v>
      </c>
      <c r="K107" s="55"/>
      <c r="L107" s="1"/>
      <c r="M107" s="1"/>
      <c r="N107" s="1"/>
      <c r="O107" s="1"/>
      <c r="P107" s="1"/>
      <c r="Q107" s="57" t="e">
        <f>J107*300*720/1000000/0.9</f>
        <v>#REF!</v>
      </c>
      <c r="R107" s="1"/>
      <c r="S107" s="1"/>
    </row>
    <row r="108" spans="1:26" customFormat="1" ht="15" customHeight="1">
      <c r="A108" s="702"/>
      <c r="B108" s="705"/>
      <c r="C108" s="684"/>
      <c r="D108" s="684"/>
      <c r="E108" s="684"/>
      <c r="F108" s="709"/>
      <c r="G108" s="54" t="s">
        <v>312</v>
      </c>
      <c r="H108" s="54" t="s">
        <v>313</v>
      </c>
      <c r="I108" s="71">
        <f>F107</f>
        <v>1</v>
      </c>
      <c r="J108" s="68" t="e">
        <f>I108*#REF!</f>
        <v>#REF!</v>
      </c>
      <c r="K108" s="55"/>
      <c r="L108" s="1"/>
      <c r="M108" s="1"/>
      <c r="N108" s="1"/>
      <c r="O108" s="1"/>
      <c r="P108" s="1"/>
      <c r="Q108" s="57" t="e">
        <f>J108*300*720/1000000/0.9</f>
        <v>#REF!</v>
      </c>
      <c r="R108" s="1"/>
      <c r="S108" s="1"/>
    </row>
    <row r="109" spans="1:26" customFormat="1" ht="15" customHeight="1">
      <c r="A109" s="702"/>
      <c r="B109" s="705"/>
      <c r="C109" s="684"/>
      <c r="D109" s="684"/>
      <c r="E109" s="684"/>
      <c r="F109" s="709"/>
      <c r="G109" s="54" t="s">
        <v>268</v>
      </c>
      <c r="H109" s="54" t="s">
        <v>269</v>
      </c>
      <c r="I109" s="71">
        <f>F107</f>
        <v>1</v>
      </c>
      <c r="J109" s="68" t="e">
        <f>I107*#REF!</f>
        <v>#REF!</v>
      </c>
      <c r="K109" s="55"/>
      <c r="L109" s="1"/>
      <c r="M109" s="1"/>
      <c r="N109" s="1"/>
      <c r="O109" s="1"/>
      <c r="P109" s="1"/>
      <c r="Q109" s="57" t="e">
        <f>J109*300*867/1000000/0.9</f>
        <v>#REF!</v>
      </c>
      <c r="R109" s="1"/>
      <c r="S109" s="1"/>
    </row>
    <row r="110" spans="1:26" customFormat="1" ht="15" customHeight="1">
      <c r="A110" s="702"/>
      <c r="B110" s="705"/>
      <c r="C110" s="684"/>
      <c r="D110" s="684"/>
      <c r="E110" s="684"/>
      <c r="F110" s="709"/>
      <c r="G110" s="54" t="s">
        <v>314</v>
      </c>
      <c r="H110" s="54" t="s">
        <v>315</v>
      </c>
      <c r="I110" s="71">
        <f>F107*2</f>
        <v>2</v>
      </c>
      <c r="J110" s="68" t="e">
        <f>I110*#REF!</f>
        <v>#REF!</v>
      </c>
      <c r="K110" s="55"/>
      <c r="L110" s="1"/>
      <c r="M110" s="1"/>
      <c r="N110" s="1"/>
      <c r="O110" s="1"/>
      <c r="P110" s="1"/>
      <c r="Q110" s="57" t="e">
        <f>J110*277*867/1000000/0.9</f>
        <v>#REF!</v>
      </c>
      <c r="R110" s="1"/>
      <c r="S110" s="1"/>
    </row>
    <row r="111" spans="1:26" customFormat="1" ht="15" customHeight="1">
      <c r="A111" s="702"/>
      <c r="B111" s="705"/>
      <c r="C111" s="684"/>
      <c r="D111" s="684"/>
      <c r="E111" s="684"/>
      <c r="F111" s="709"/>
      <c r="G111" s="54" t="s">
        <v>280</v>
      </c>
      <c r="H111" s="54" t="s">
        <v>281</v>
      </c>
      <c r="I111" s="71">
        <f>F107</f>
        <v>1</v>
      </c>
      <c r="J111" s="68" t="e">
        <f>I111*#REF!</f>
        <v>#REF!</v>
      </c>
      <c r="K111" s="55"/>
      <c r="L111" s="1"/>
      <c r="M111" s="1"/>
      <c r="N111" s="1"/>
      <c r="O111" s="1"/>
      <c r="P111" s="1"/>
      <c r="Q111" s="57" t="e">
        <f>J111*708*878/1000000/0.9</f>
        <v>#REF!</v>
      </c>
      <c r="R111" s="1"/>
      <c r="S111" s="1"/>
    </row>
    <row r="112" spans="1:26" customFormat="1" ht="15" customHeight="1" thickBot="1">
      <c r="A112" s="703"/>
      <c r="B112" s="706"/>
      <c r="C112" s="685"/>
      <c r="D112" s="685"/>
      <c r="E112" s="685"/>
      <c r="F112" s="716"/>
      <c r="G112" s="72" t="s">
        <v>284</v>
      </c>
      <c r="H112" s="72" t="s">
        <v>285</v>
      </c>
      <c r="I112" s="73">
        <f>F107</f>
        <v>1</v>
      </c>
      <c r="J112" s="68" t="e">
        <f>I112*#REF!</f>
        <v>#REF!</v>
      </c>
      <c r="K112" s="55"/>
      <c r="L112" s="1"/>
      <c r="M112" s="1"/>
      <c r="N112" s="1"/>
      <c r="O112" s="1"/>
      <c r="P112" s="1"/>
      <c r="Q112" s="57" t="e">
        <f>J112*88*867/1000000/0.9</f>
        <v>#REF!</v>
      </c>
      <c r="R112" s="1"/>
      <c r="S112" s="1"/>
    </row>
    <row r="115" spans="2:7" ht="15" customHeight="1">
      <c r="B115" s="44" t="s">
        <v>316</v>
      </c>
      <c r="G115" s="44" t="s">
        <v>317</v>
      </c>
    </row>
  </sheetData>
  <sheetProtection password="CC13" sheet="1" objects="1" scenarios="1"/>
  <protectedRanges>
    <protectedRange password="CE2A" sqref="F1:F1048576" name="区域1"/>
  </protectedRanges>
  <mergeCells count="139">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F18:F23"/>
    <mergeCell ref="J24:J28"/>
    <mergeCell ref="V24:V28"/>
    <mergeCell ref="J29:J33"/>
    <mergeCell ref="V29:V33"/>
    <mergeCell ref="J40:J43"/>
    <mergeCell ref="V40:V43"/>
    <mergeCell ref="J45:J49"/>
    <mergeCell ref="V45:V49"/>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C34:C39"/>
    <mergeCell ref="D34:D39"/>
    <mergeCell ref="E34:E39"/>
    <mergeCell ref="A40:A44"/>
    <mergeCell ref="B40:B44"/>
    <mergeCell ref="C40:C44"/>
    <mergeCell ref="D40:D44"/>
    <mergeCell ref="E40:E44"/>
    <mergeCell ref="F40:F44"/>
  </mergeCells>
  <phoneticPr fontId="19"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sheetPr>
    <tabColor rgb="FF0070C0"/>
  </sheetPr>
  <dimension ref="A1:AF57"/>
  <sheetViews>
    <sheetView view="pageBreakPreview" topLeftCell="A34" zoomScaleSheetLayoutView="100" workbookViewId="0">
      <selection activeCell="B56" sqref="B56"/>
    </sheetView>
  </sheetViews>
  <sheetFormatPr defaultRowHeight="16.5"/>
  <cols>
    <col min="1" max="1" width="10.125" style="572" customWidth="1"/>
    <col min="2" max="2" width="9.125" style="572" customWidth="1"/>
    <col min="3" max="6" width="7.375" style="572" customWidth="1"/>
    <col min="7" max="7" width="8.625" style="572" customWidth="1"/>
    <col min="8" max="9" width="6.25" style="572" customWidth="1"/>
    <col min="10" max="10" width="15.25" style="572" customWidth="1"/>
    <col min="11" max="13" width="14.875" style="572" customWidth="1"/>
    <col min="14" max="17" width="8" style="572" customWidth="1"/>
    <col min="18" max="18" width="8.125" style="572" customWidth="1"/>
    <col min="19" max="19" width="8.75" style="572" customWidth="1"/>
    <col min="20" max="20" width="12.375" style="572" customWidth="1"/>
    <col min="21" max="21" width="10.625" style="572" customWidth="1"/>
    <col min="22" max="22" width="6.25" style="572" customWidth="1"/>
    <col min="23" max="23" width="9.5" style="572" customWidth="1"/>
    <col min="24" max="24" width="41.75" style="572" customWidth="1"/>
    <col min="25" max="25" width="22.625" style="573" customWidth="1"/>
    <col min="26" max="26" width="7.375" style="572" customWidth="1"/>
    <col min="27" max="27" width="42.25" style="572" customWidth="1"/>
    <col min="28" max="28" width="11.5" style="572" customWidth="1"/>
    <col min="29" max="30" width="6.75" style="572" customWidth="1"/>
    <col min="31" max="31" width="12.25" style="577" customWidth="1"/>
    <col min="32" max="32" width="42.5" style="573" customWidth="1"/>
    <col min="33" max="259" width="9" style="572"/>
    <col min="260" max="260" width="8.5" style="572" customWidth="1"/>
    <col min="261" max="261" width="6.375" style="572" customWidth="1"/>
    <col min="262" max="262" width="6.625" style="572" customWidth="1"/>
    <col min="263" max="263" width="5.125" style="572" customWidth="1"/>
    <col min="264" max="264" width="6.5" style="572" customWidth="1"/>
    <col min="265" max="265" width="5.375" style="572" customWidth="1"/>
    <col min="266" max="266" width="4.625" style="572" customWidth="1"/>
    <col min="267" max="267" width="8.625" style="572" customWidth="1"/>
    <col min="268" max="268" width="19.875" style="572" customWidth="1"/>
    <col min="269" max="269" width="9" style="572"/>
    <col min="270" max="270" width="9.875" style="572" customWidth="1"/>
    <col min="271" max="271" width="8.875" style="572" customWidth="1"/>
    <col min="272" max="272" width="8.625" style="572" customWidth="1"/>
    <col min="273" max="273" width="8" style="572" customWidth="1"/>
    <col min="274" max="274" width="8.625" style="572" customWidth="1"/>
    <col min="275" max="275" width="9" style="572" customWidth="1"/>
    <col min="276" max="276" width="13.5" style="572" customWidth="1"/>
    <col min="277" max="277" width="16.125" style="572" bestFit="1" customWidth="1"/>
    <col min="278" max="278" width="13.875" style="572" bestFit="1" customWidth="1"/>
    <col min="279" max="279" width="7.5" style="572" bestFit="1" customWidth="1"/>
    <col min="280" max="280" width="13.875" style="572" customWidth="1"/>
    <col min="281" max="282" width="15.625" style="572" customWidth="1"/>
    <col min="283" max="515" width="9" style="572"/>
    <col min="516" max="516" width="8.5" style="572" customWidth="1"/>
    <col min="517" max="517" width="6.375" style="572" customWidth="1"/>
    <col min="518" max="518" width="6.625" style="572" customWidth="1"/>
    <col min="519" max="519" width="5.125" style="572" customWidth="1"/>
    <col min="520" max="520" width="6.5" style="572" customWidth="1"/>
    <col min="521" max="521" width="5.375" style="572" customWidth="1"/>
    <col min="522" max="522" width="4.625" style="572" customWidth="1"/>
    <col min="523" max="523" width="8.625" style="572" customWidth="1"/>
    <col min="524" max="524" width="19.875" style="572" customWidth="1"/>
    <col min="525" max="525" width="9" style="572"/>
    <col min="526" max="526" width="9.875" style="572" customWidth="1"/>
    <col min="527" max="527" width="8.875" style="572" customWidth="1"/>
    <col min="528" max="528" width="8.625" style="572" customWidth="1"/>
    <col min="529" max="529" width="8" style="572" customWidth="1"/>
    <col min="530" max="530" width="8.625" style="572" customWidth="1"/>
    <col min="531" max="531" width="9" style="572" customWidth="1"/>
    <col min="532" max="532" width="13.5" style="572" customWidth="1"/>
    <col min="533" max="533" width="16.125" style="572" bestFit="1" customWidth="1"/>
    <col min="534" max="534" width="13.875" style="572" bestFit="1" customWidth="1"/>
    <col min="535" max="535" width="7.5" style="572" bestFit="1" customWidth="1"/>
    <col min="536" max="536" width="13.875" style="572" customWidth="1"/>
    <col min="537" max="538" width="15.625" style="572" customWidth="1"/>
    <col min="539" max="771" width="9" style="572"/>
    <col min="772" max="772" width="8.5" style="572" customWidth="1"/>
    <col min="773" max="773" width="6.375" style="572" customWidth="1"/>
    <col min="774" max="774" width="6.625" style="572" customWidth="1"/>
    <col min="775" max="775" width="5.125" style="572" customWidth="1"/>
    <col min="776" max="776" width="6.5" style="572" customWidth="1"/>
    <col min="777" max="777" width="5.375" style="572" customWidth="1"/>
    <col min="778" max="778" width="4.625" style="572" customWidth="1"/>
    <col min="779" max="779" width="8.625" style="572" customWidth="1"/>
    <col min="780" max="780" width="19.875" style="572" customWidth="1"/>
    <col min="781" max="781" width="9" style="572"/>
    <col min="782" max="782" width="9.875" style="572" customWidth="1"/>
    <col min="783" max="783" width="8.875" style="572" customWidth="1"/>
    <col min="784" max="784" width="8.625" style="572" customWidth="1"/>
    <col min="785" max="785" width="8" style="572" customWidth="1"/>
    <col min="786" max="786" width="8.625" style="572" customWidth="1"/>
    <col min="787" max="787" width="9" style="572" customWidth="1"/>
    <col min="788" max="788" width="13.5" style="572" customWidth="1"/>
    <col min="789" max="789" width="16.125" style="572" bestFit="1" customWidth="1"/>
    <col min="790" max="790" width="13.875" style="572" bestFit="1" customWidth="1"/>
    <col min="791" max="791" width="7.5" style="572" bestFit="1" customWidth="1"/>
    <col min="792" max="792" width="13.875" style="572" customWidth="1"/>
    <col min="793" max="794" width="15.625" style="572" customWidth="1"/>
    <col min="795" max="1027" width="9" style="572"/>
    <col min="1028" max="1028" width="8.5" style="572" customWidth="1"/>
    <col min="1029" max="1029" width="6.375" style="572" customWidth="1"/>
    <col min="1030" max="1030" width="6.625" style="572" customWidth="1"/>
    <col min="1031" max="1031" width="5.125" style="572" customWidth="1"/>
    <col min="1032" max="1032" width="6.5" style="572" customWidth="1"/>
    <col min="1033" max="1033" width="5.375" style="572" customWidth="1"/>
    <col min="1034" max="1034" width="4.625" style="572" customWidth="1"/>
    <col min="1035" max="1035" width="8.625" style="572" customWidth="1"/>
    <col min="1036" max="1036" width="19.875" style="572" customWidth="1"/>
    <col min="1037" max="1037" width="9" style="572"/>
    <col min="1038" max="1038" width="9.875" style="572" customWidth="1"/>
    <col min="1039" max="1039" width="8.875" style="572" customWidth="1"/>
    <col min="1040" max="1040" width="8.625" style="572" customWidth="1"/>
    <col min="1041" max="1041" width="8" style="572" customWidth="1"/>
    <col min="1042" max="1042" width="8.625" style="572" customWidth="1"/>
    <col min="1043" max="1043" width="9" style="572" customWidth="1"/>
    <col min="1044" max="1044" width="13.5" style="572" customWidth="1"/>
    <col min="1045" max="1045" width="16.125" style="572" bestFit="1" customWidth="1"/>
    <col min="1046" max="1046" width="13.875" style="572" bestFit="1" customWidth="1"/>
    <col min="1047" max="1047" width="7.5" style="572" bestFit="1" customWidth="1"/>
    <col min="1048" max="1048" width="13.875" style="572" customWidth="1"/>
    <col min="1049" max="1050" width="15.625" style="572" customWidth="1"/>
    <col min="1051" max="1283" width="9" style="572"/>
    <col min="1284" max="1284" width="8.5" style="572" customWidth="1"/>
    <col min="1285" max="1285" width="6.375" style="572" customWidth="1"/>
    <col min="1286" max="1286" width="6.625" style="572" customWidth="1"/>
    <col min="1287" max="1287" width="5.125" style="572" customWidth="1"/>
    <col min="1288" max="1288" width="6.5" style="572" customWidth="1"/>
    <col min="1289" max="1289" width="5.375" style="572" customWidth="1"/>
    <col min="1290" max="1290" width="4.625" style="572" customWidth="1"/>
    <col min="1291" max="1291" width="8.625" style="572" customWidth="1"/>
    <col min="1292" max="1292" width="19.875" style="572" customWidth="1"/>
    <col min="1293" max="1293" width="9" style="572"/>
    <col min="1294" max="1294" width="9.875" style="572" customWidth="1"/>
    <col min="1295" max="1295" width="8.875" style="572" customWidth="1"/>
    <col min="1296" max="1296" width="8.625" style="572" customWidth="1"/>
    <col min="1297" max="1297" width="8" style="572" customWidth="1"/>
    <col min="1298" max="1298" width="8.625" style="572" customWidth="1"/>
    <col min="1299" max="1299" width="9" style="572" customWidth="1"/>
    <col min="1300" max="1300" width="13.5" style="572" customWidth="1"/>
    <col min="1301" max="1301" width="16.125" style="572" bestFit="1" customWidth="1"/>
    <col min="1302" max="1302" width="13.875" style="572" bestFit="1" customWidth="1"/>
    <col min="1303" max="1303" width="7.5" style="572" bestFit="1" customWidth="1"/>
    <col min="1304" max="1304" width="13.875" style="572" customWidth="1"/>
    <col min="1305" max="1306" width="15.625" style="572" customWidth="1"/>
    <col min="1307" max="1539" width="9" style="572"/>
    <col min="1540" max="1540" width="8.5" style="572" customWidth="1"/>
    <col min="1541" max="1541" width="6.375" style="572" customWidth="1"/>
    <col min="1542" max="1542" width="6.625" style="572" customWidth="1"/>
    <col min="1543" max="1543" width="5.125" style="572" customWidth="1"/>
    <col min="1544" max="1544" width="6.5" style="572" customWidth="1"/>
    <col min="1545" max="1545" width="5.375" style="572" customWidth="1"/>
    <col min="1546" max="1546" width="4.625" style="572" customWidth="1"/>
    <col min="1547" max="1547" width="8.625" style="572" customWidth="1"/>
    <col min="1548" max="1548" width="19.875" style="572" customWidth="1"/>
    <col min="1549" max="1549" width="9" style="572"/>
    <col min="1550" max="1550" width="9.875" style="572" customWidth="1"/>
    <col min="1551" max="1551" width="8.875" style="572" customWidth="1"/>
    <col min="1552" max="1552" width="8.625" style="572" customWidth="1"/>
    <col min="1553" max="1553" width="8" style="572" customWidth="1"/>
    <col min="1554" max="1554" width="8.625" style="572" customWidth="1"/>
    <col min="1555" max="1555" width="9" style="572" customWidth="1"/>
    <col min="1556" max="1556" width="13.5" style="572" customWidth="1"/>
    <col min="1557" max="1557" width="16.125" style="572" bestFit="1" customWidth="1"/>
    <col min="1558" max="1558" width="13.875" style="572" bestFit="1" customWidth="1"/>
    <col min="1559" max="1559" width="7.5" style="572" bestFit="1" customWidth="1"/>
    <col min="1560" max="1560" width="13.875" style="572" customWidth="1"/>
    <col min="1561" max="1562" width="15.625" style="572" customWidth="1"/>
    <col min="1563" max="1795" width="9" style="572"/>
    <col min="1796" max="1796" width="8.5" style="572" customWidth="1"/>
    <col min="1797" max="1797" width="6.375" style="572" customWidth="1"/>
    <col min="1798" max="1798" width="6.625" style="572" customWidth="1"/>
    <col min="1799" max="1799" width="5.125" style="572" customWidth="1"/>
    <col min="1800" max="1800" width="6.5" style="572" customWidth="1"/>
    <col min="1801" max="1801" width="5.375" style="572" customWidth="1"/>
    <col min="1802" max="1802" width="4.625" style="572" customWidth="1"/>
    <col min="1803" max="1803" width="8.625" style="572" customWidth="1"/>
    <col min="1804" max="1804" width="19.875" style="572" customWidth="1"/>
    <col min="1805" max="1805" width="9" style="572"/>
    <col min="1806" max="1806" width="9.875" style="572" customWidth="1"/>
    <col min="1807" max="1807" width="8.875" style="572" customWidth="1"/>
    <col min="1808" max="1808" width="8.625" style="572" customWidth="1"/>
    <col min="1809" max="1809" width="8" style="572" customWidth="1"/>
    <col min="1810" max="1810" width="8.625" style="572" customWidth="1"/>
    <col min="1811" max="1811" width="9" style="572" customWidth="1"/>
    <col min="1812" max="1812" width="13.5" style="572" customWidth="1"/>
    <col min="1813" max="1813" width="16.125" style="572" bestFit="1" customWidth="1"/>
    <col min="1814" max="1814" width="13.875" style="572" bestFit="1" customWidth="1"/>
    <col min="1815" max="1815" width="7.5" style="572" bestFit="1" customWidth="1"/>
    <col min="1816" max="1816" width="13.875" style="572" customWidth="1"/>
    <col min="1817" max="1818" width="15.625" style="572" customWidth="1"/>
    <col min="1819" max="2051" width="9" style="572"/>
    <col min="2052" max="2052" width="8.5" style="572" customWidth="1"/>
    <col min="2053" max="2053" width="6.375" style="572" customWidth="1"/>
    <col min="2054" max="2054" width="6.625" style="572" customWidth="1"/>
    <col min="2055" max="2055" width="5.125" style="572" customWidth="1"/>
    <col min="2056" max="2056" width="6.5" style="572" customWidth="1"/>
    <col min="2057" max="2057" width="5.375" style="572" customWidth="1"/>
    <col min="2058" max="2058" width="4.625" style="572" customWidth="1"/>
    <col min="2059" max="2059" width="8.625" style="572" customWidth="1"/>
    <col min="2060" max="2060" width="19.875" style="572" customWidth="1"/>
    <col min="2061" max="2061" width="9" style="572"/>
    <col min="2062" max="2062" width="9.875" style="572" customWidth="1"/>
    <col min="2063" max="2063" width="8.875" style="572" customWidth="1"/>
    <col min="2064" max="2064" width="8.625" style="572" customWidth="1"/>
    <col min="2065" max="2065" width="8" style="572" customWidth="1"/>
    <col min="2066" max="2066" width="8.625" style="572" customWidth="1"/>
    <col min="2067" max="2067" width="9" style="572" customWidth="1"/>
    <col min="2068" max="2068" width="13.5" style="572" customWidth="1"/>
    <col min="2069" max="2069" width="16.125" style="572" bestFit="1" customWidth="1"/>
    <col min="2070" max="2070" width="13.875" style="572" bestFit="1" customWidth="1"/>
    <col min="2071" max="2071" width="7.5" style="572" bestFit="1" customWidth="1"/>
    <col min="2072" max="2072" width="13.875" style="572" customWidth="1"/>
    <col min="2073" max="2074" width="15.625" style="572" customWidth="1"/>
    <col min="2075" max="2307" width="9" style="572"/>
    <col min="2308" max="2308" width="8.5" style="572" customWidth="1"/>
    <col min="2309" max="2309" width="6.375" style="572" customWidth="1"/>
    <col min="2310" max="2310" width="6.625" style="572" customWidth="1"/>
    <col min="2311" max="2311" width="5.125" style="572" customWidth="1"/>
    <col min="2312" max="2312" width="6.5" style="572" customWidth="1"/>
    <col min="2313" max="2313" width="5.375" style="572" customWidth="1"/>
    <col min="2314" max="2314" width="4.625" style="572" customWidth="1"/>
    <col min="2315" max="2315" width="8.625" style="572" customWidth="1"/>
    <col min="2316" max="2316" width="19.875" style="572" customWidth="1"/>
    <col min="2317" max="2317" width="9" style="572"/>
    <col min="2318" max="2318" width="9.875" style="572" customWidth="1"/>
    <col min="2319" max="2319" width="8.875" style="572" customWidth="1"/>
    <col min="2320" max="2320" width="8.625" style="572" customWidth="1"/>
    <col min="2321" max="2321" width="8" style="572" customWidth="1"/>
    <col min="2322" max="2322" width="8.625" style="572" customWidth="1"/>
    <col min="2323" max="2323" width="9" style="572" customWidth="1"/>
    <col min="2324" max="2324" width="13.5" style="572" customWidth="1"/>
    <col min="2325" max="2325" width="16.125" style="572" bestFit="1" customWidth="1"/>
    <col min="2326" max="2326" width="13.875" style="572" bestFit="1" customWidth="1"/>
    <col min="2327" max="2327" width="7.5" style="572" bestFit="1" customWidth="1"/>
    <col min="2328" max="2328" width="13.875" style="572" customWidth="1"/>
    <col min="2329" max="2330" width="15.625" style="572" customWidth="1"/>
    <col min="2331" max="2563" width="9" style="572"/>
    <col min="2564" max="2564" width="8.5" style="572" customWidth="1"/>
    <col min="2565" max="2565" width="6.375" style="572" customWidth="1"/>
    <col min="2566" max="2566" width="6.625" style="572" customWidth="1"/>
    <col min="2567" max="2567" width="5.125" style="572" customWidth="1"/>
    <col min="2568" max="2568" width="6.5" style="572" customWidth="1"/>
    <col min="2569" max="2569" width="5.375" style="572" customWidth="1"/>
    <col min="2570" max="2570" width="4.625" style="572" customWidth="1"/>
    <col min="2571" max="2571" width="8.625" style="572" customWidth="1"/>
    <col min="2572" max="2572" width="19.875" style="572" customWidth="1"/>
    <col min="2573" max="2573" width="9" style="572"/>
    <col min="2574" max="2574" width="9.875" style="572" customWidth="1"/>
    <col min="2575" max="2575" width="8.875" style="572" customWidth="1"/>
    <col min="2576" max="2576" width="8.625" style="572" customWidth="1"/>
    <col min="2577" max="2577" width="8" style="572" customWidth="1"/>
    <col min="2578" max="2578" width="8.625" style="572" customWidth="1"/>
    <col min="2579" max="2579" width="9" style="572" customWidth="1"/>
    <col min="2580" max="2580" width="13.5" style="572" customWidth="1"/>
    <col min="2581" max="2581" width="16.125" style="572" bestFit="1" customWidth="1"/>
    <col min="2582" max="2582" width="13.875" style="572" bestFit="1" customWidth="1"/>
    <col min="2583" max="2583" width="7.5" style="572" bestFit="1" customWidth="1"/>
    <col min="2584" max="2584" width="13.875" style="572" customWidth="1"/>
    <col min="2585" max="2586" width="15.625" style="572" customWidth="1"/>
    <col min="2587" max="2819" width="9" style="572"/>
    <col min="2820" max="2820" width="8.5" style="572" customWidth="1"/>
    <col min="2821" max="2821" width="6.375" style="572" customWidth="1"/>
    <col min="2822" max="2822" width="6.625" style="572" customWidth="1"/>
    <col min="2823" max="2823" width="5.125" style="572" customWidth="1"/>
    <col min="2824" max="2824" width="6.5" style="572" customWidth="1"/>
    <col min="2825" max="2825" width="5.375" style="572" customWidth="1"/>
    <col min="2826" max="2826" width="4.625" style="572" customWidth="1"/>
    <col min="2827" max="2827" width="8.625" style="572" customWidth="1"/>
    <col min="2828" max="2828" width="19.875" style="572" customWidth="1"/>
    <col min="2829" max="2829" width="9" style="572"/>
    <col min="2830" max="2830" width="9.875" style="572" customWidth="1"/>
    <col min="2831" max="2831" width="8.875" style="572" customWidth="1"/>
    <col min="2832" max="2832" width="8.625" style="572" customWidth="1"/>
    <col min="2833" max="2833" width="8" style="572" customWidth="1"/>
    <col min="2834" max="2834" width="8.625" style="572" customWidth="1"/>
    <col min="2835" max="2835" width="9" style="572" customWidth="1"/>
    <col min="2836" max="2836" width="13.5" style="572" customWidth="1"/>
    <col min="2837" max="2837" width="16.125" style="572" bestFit="1" customWidth="1"/>
    <col min="2838" max="2838" width="13.875" style="572" bestFit="1" customWidth="1"/>
    <col min="2839" max="2839" width="7.5" style="572" bestFit="1" customWidth="1"/>
    <col min="2840" max="2840" width="13.875" style="572" customWidth="1"/>
    <col min="2841" max="2842" width="15.625" style="572" customWidth="1"/>
    <col min="2843" max="3075" width="9" style="572"/>
    <col min="3076" max="3076" width="8.5" style="572" customWidth="1"/>
    <col min="3077" max="3077" width="6.375" style="572" customWidth="1"/>
    <col min="3078" max="3078" width="6.625" style="572" customWidth="1"/>
    <col min="3079" max="3079" width="5.125" style="572" customWidth="1"/>
    <col min="3080" max="3080" width="6.5" style="572" customWidth="1"/>
    <col min="3081" max="3081" width="5.375" style="572" customWidth="1"/>
    <col min="3082" max="3082" width="4.625" style="572" customWidth="1"/>
    <col min="3083" max="3083" width="8.625" style="572" customWidth="1"/>
    <col min="3084" max="3084" width="19.875" style="572" customWidth="1"/>
    <col min="3085" max="3085" width="9" style="572"/>
    <col min="3086" max="3086" width="9.875" style="572" customWidth="1"/>
    <col min="3087" max="3087" width="8.875" style="572" customWidth="1"/>
    <col min="3088" max="3088" width="8.625" style="572" customWidth="1"/>
    <col min="3089" max="3089" width="8" style="572" customWidth="1"/>
    <col min="3090" max="3090" width="8.625" style="572" customWidth="1"/>
    <col min="3091" max="3091" width="9" style="572" customWidth="1"/>
    <col min="3092" max="3092" width="13.5" style="572" customWidth="1"/>
    <col min="3093" max="3093" width="16.125" style="572" bestFit="1" customWidth="1"/>
    <col min="3094" max="3094" width="13.875" style="572" bestFit="1" customWidth="1"/>
    <col min="3095" max="3095" width="7.5" style="572" bestFit="1" customWidth="1"/>
    <col min="3096" max="3096" width="13.875" style="572" customWidth="1"/>
    <col min="3097" max="3098" width="15.625" style="572" customWidth="1"/>
    <col min="3099" max="3331" width="9" style="572"/>
    <col min="3332" max="3332" width="8.5" style="572" customWidth="1"/>
    <col min="3333" max="3333" width="6.375" style="572" customWidth="1"/>
    <col min="3334" max="3334" width="6.625" style="572" customWidth="1"/>
    <col min="3335" max="3335" width="5.125" style="572" customWidth="1"/>
    <col min="3336" max="3336" width="6.5" style="572" customWidth="1"/>
    <col min="3337" max="3337" width="5.375" style="572" customWidth="1"/>
    <col min="3338" max="3338" width="4.625" style="572" customWidth="1"/>
    <col min="3339" max="3339" width="8.625" style="572" customWidth="1"/>
    <col min="3340" max="3340" width="19.875" style="572" customWidth="1"/>
    <col min="3341" max="3341" width="9" style="572"/>
    <col min="3342" max="3342" width="9.875" style="572" customWidth="1"/>
    <col min="3343" max="3343" width="8.875" style="572" customWidth="1"/>
    <col min="3344" max="3344" width="8.625" style="572" customWidth="1"/>
    <col min="3345" max="3345" width="8" style="572" customWidth="1"/>
    <col min="3346" max="3346" width="8.625" style="572" customWidth="1"/>
    <col min="3347" max="3347" width="9" style="572" customWidth="1"/>
    <col min="3348" max="3348" width="13.5" style="572" customWidth="1"/>
    <col min="3349" max="3349" width="16.125" style="572" bestFit="1" customWidth="1"/>
    <col min="3350" max="3350" width="13.875" style="572" bestFit="1" customWidth="1"/>
    <col min="3351" max="3351" width="7.5" style="572" bestFit="1" customWidth="1"/>
    <col min="3352" max="3352" width="13.875" style="572" customWidth="1"/>
    <col min="3353" max="3354" width="15.625" style="572" customWidth="1"/>
    <col min="3355" max="3587" width="9" style="572"/>
    <col min="3588" max="3588" width="8.5" style="572" customWidth="1"/>
    <col min="3589" max="3589" width="6.375" style="572" customWidth="1"/>
    <col min="3590" max="3590" width="6.625" style="572" customWidth="1"/>
    <col min="3591" max="3591" width="5.125" style="572" customWidth="1"/>
    <col min="3592" max="3592" width="6.5" style="572" customWidth="1"/>
    <col min="3593" max="3593" width="5.375" style="572" customWidth="1"/>
    <col min="3594" max="3594" width="4.625" style="572" customWidth="1"/>
    <col min="3595" max="3595" width="8.625" style="572" customWidth="1"/>
    <col min="3596" max="3596" width="19.875" style="572" customWidth="1"/>
    <col min="3597" max="3597" width="9" style="572"/>
    <col min="3598" max="3598" width="9.875" style="572" customWidth="1"/>
    <col min="3599" max="3599" width="8.875" style="572" customWidth="1"/>
    <col min="3600" max="3600" width="8.625" style="572" customWidth="1"/>
    <col min="3601" max="3601" width="8" style="572" customWidth="1"/>
    <col min="3602" max="3602" width="8.625" style="572" customWidth="1"/>
    <col min="3603" max="3603" width="9" style="572" customWidth="1"/>
    <col min="3604" max="3604" width="13.5" style="572" customWidth="1"/>
    <col min="3605" max="3605" width="16.125" style="572" bestFit="1" customWidth="1"/>
    <col min="3606" max="3606" width="13.875" style="572" bestFit="1" customWidth="1"/>
    <col min="3607" max="3607" width="7.5" style="572" bestFit="1" customWidth="1"/>
    <col min="3608" max="3608" width="13.875" style="572" customWidth="1"/>
    <col min="3609" max="3610" width="15.625" style="572" customWidth="1"/>
    <col min="3611" max="3843" width="9" style="572"/>
    <col min="3844" max="3844" width="8.5" style="572" customWidth="1"/>
    <col min="3845" max="3845" width="6.375" style="572" customWidth="1"/>
    <col min="3846" max="3846" width="6.625" style="572" customWidth="1"/>
    <col min="3847" max="3847" width="5.125" style="572" customWidth="1"/>
    <col min="3848" max="3848" width="6.5" style="572" customWidth="1"/>
    <col min="3849" max="3849" width="5.375" style="572" customWidth="1"/>
    <col min="3850" max="3850" width="4.625" style="572" customWidth="1"/>
    <col min="3851" max="3851" width="8.625" style="572" customWidth="1"/>
    <col min="3852" max="3852" width="19.875" style="572" customWidth="1"/>
    <col min="3853" max="3853" width="9" style="572"/>
    <col min="3854" max="3854" width="9.875" style="572" customWidth="1"/>
    <col min="3855" max="3855" width="8.875" style="572" customWidth="1"/>
    <col min="3856" max="3856" width="8.625" style="572" customWidth="1"/>
    <col min="3857" max="3857" width="8" style="572" customWidth="1"/>
    <col min="3858" max="3858" width="8.625" style="572" customWidth="1"/>
    <col min="3859" max="3859" width="9" style="572" customWidth="1"/>
    <col min="3860" max="3860" width="13.5" style="572" customWidth="1"/>
    <col min="3861" max="3861" width="16.125" style="572" bestFit="1" customWidth="1"/>
    <col min="3862" max="3862" width="13.875" style="572" bestFit="1" customWidth="1"/>
    <col min="3863" max="3863" width="7.5" style="572" bestFit="1" customWidth="1"/>
    <col min="3864" max="3864" width="13.875" style="572" customWidth="1"/>
    <col min="3865" max="3866" width="15.625" style="572" customWidth="1"/>
    <col min="3867" max="4099" width="9" style="572"/>
    <col min="4100" max="4100" width="8.5" style="572" customWidth="1"/>
    <col min="4101" max="4101" width="6.375" style="572" customWidth="1"/>
    <col min="4102" max="4102" width="6.625" style="572" customWidth="1"/>
    <col min="4103" max="4103" width="5.125" style="572" customWidth="1"/>
    <col min="4104" max="4104" width="6.5" style="572" customWidth="1"/>
    <col min="4105" max="4105" width="5.375" style="572" customWidth="1"/>
    <col min="4106" max="4106" width="4.625" style="572" customWidth="1"/>
    <col min="4107" max="4107" width="8.625" style="572" customWidth="1"/>
    <col min="4108" max="4108" width="19.875" style="572" customWidth="1"/>
    <col min="4109" max="4109" width="9" style="572"/>
    <col min="4110" max="4110" width="9.875" style="572" customWidth="1"/>
    <col min="4111" max="4111" width="8.875" style="572" customWidth="1"/>
    <col min="4112" max="4112" width="8.625" style="572" customWidth="1"/>
    <col min="4113" max="4113" width="8" style="572" customWidth="1"/>
    <col min="4114" max="4114" width="8.625" style="572" customWidth="1"/>
    <col min="4115" max="4115" width="9" style="572" customWidth="1"/>
    <col min="4116" max="4116" width="13.5" style="572" customWidth="1"/>
    <col min="4117" max="4117" width="16.125" style="572" bestFit="1" customWidth="1"/>
    <col min="4118" max="4118" width="13.875" style="572" bestFit="1" customWidth="1"/>
    <col min="4119" max="4119" width="7.5" style="572" bestFit="1" customWidth="1"/>
    <col min="4120" max="4120" width="13.875" style="572" customWidth="1"/>
    <col min="4121" max="4122" width="15.625" style="572" customWidth="1"/>
    <col min="4123" max="4355" width="9" style="572"/>
    <col min="4356" max="4356" width="8.5" style="572" customWidth="1"/>
    <col min="4357" max="4357" width="6.375" style="572" customWidth="1"/>
    <col min="4358" max="4358" width="6.625" style="572" customWidth="1"/>
    <col min="4359" max="4359" width="5.125" style="572" customWidth="1"/>
    <col min="4360" max="4360" width="6.5" style="572" customWidth="1"/>
    <col min="4361" max="4361" width="5.375" style="572" customWidth="1"/>
    <col min="4362" max="4362" width="4.625" style="572" customWidth="1"/>
    <col min="4363" max="4363" width="8.625" style="572" customWidth="1"/>
    <col min="4364" max="4364" width="19.875" style="572" customWidth="1"/>
    <col min="4365" max="4365" width="9" style="572"/>
    <col min="4366" max="4366" width="9.875" style="572" customWidth="1"/>
    <col min="4367" max="4367" width="8.875" style="572" customWidth="1"/>
    <col min="4368" max="4368" width="8.625" style="572" customWidth="1"/>
    <col min="4369" max="4369" width="8" style="572" customWidth="1"/>
    <col min="4370" max="4370" width="8.625" style="572" customWidth="1"/>
    <col min="4371" max="4371" width="9" style="572" customWidth="1"/>
    <col min="4372" max="4372" width="13.5" style="572" customWidth="1"/>
    <col min="4373" max="4373" width="16.125" style="572" bestFit="1" customWidth="1"/>
    <col min="4374" max="4374" width="13.875" style="572" bestFit="1" customWidth="1"/>
    <col min="4375" max="4375" width="7.5" style="572" bestFit="1" customWidth="1"/>
    <col min="4376" max="4376" width="13.875" style="572" customWidth="1"/>
    <col min="4377" max="4378" width="15.625" style="572" customWidth="1"/>
    <col min="4379" max="4611" width="9" style="572"/>
    <col min="4612" max="4612" width="8.5" style="572" customWidth="1"/>
    <col min="4613" max="4613" width="6.375" style="572" customWidth="1"/>
    <col min="4614" max="4614" width="6.625" style="572" customWidth="1"/>
    <col min="4615" max="4615" width="5.125" style="572" customWidth="1"/>
    <col min="4616" max="4616" width="6.5" style="572" customWidth="1"/>
    <col min="4617" max="4617" width="5.375" style="572" customWidth="1"/>
    <col min="4618" max="4618" width="4.625" style="572" customWidth="1"/>
    <col min="4619" max="4619" width="8.625" style="572" customWidth="1"/>
    <col min="4620" max="4620" width="19.875" style="572" customWidth="1"/>
    <col min="4621" max="4621" width="9" style="572"/>
    <col min="4622" max="4622" width="9.875" style="572" customWidth="1"/>
    <col min="4623" max="4623" width="8.875" style="572" customWidth="1"/>
    <col min="4624" max="4624" width="8.625" style="572" customWidth="1"/>
    <col min="4625" max="4625" width="8" style="572" customWidth="1"/>
    <col min="4626" max="4626" width="8.625" style="572" customWidth="1"/>
    <col min="4627" max="4627" width="9" style="572" customWidth="1"/>
    <col min="4628" max="4628" width="13.5" style="572" customWidth="1"/>
    <col min="4629" max="4629" width="16.125" style="572" bestFit="1" customWidth="1"/>
    <col min="4630" max="4630" width="13.875" style="572" bestFit="1" customWidth="1"/>
    <col min="4631" max="4631" width="7.5" style="572" bestFit="1" customWidth="1"/>
    <col min="4632" max="4632" width="13.875" style="572" customWidth="1"/>
    <col min="4633" max="4634" width="15.625" style="572" customWidth="1"/>
    <col min="4635" max="4867" width="9" style="572"/>
    <col min="4868" max="4868" width="8.5" style="572" customWidth="1"/>
    <col min="4869" max="4869" width="6.375" style="572" customWidth="1"/>
    <col min="4870" max="4870" width="6.625" style="572" customWidth="1"/>
    <col min="4871" max="4871" width="5.125" style="572" customWidth="1"/>
    <col min="4872" max="4872" width="6.5" style="572" customWidth="1"/>
    <col min="4873" max="4873" width="5.375" style="572" customWidth="1"/>
    <col min="4874" max="4874" width="4.625" style="572" customWidth="1"/>
    <col min="4875" max="4875" width="8.625" style="572" customWidth="1"/>
    <col min="4876" max="4876" width="19.875" style="572" customWidth="1"/>
    <col min="4877" max="4877" width="9" style="572"/>
    <col min="4878" max="4878" width="9.875" style="572" customWidth="1"/>
    <col min="4879" max="4879" width="8.875" style="572" customWidth="1"/>
    <col min="4880" max="4880" width="8.625" style="572" customWidth="1"/>
    <col min="4881" max="4881" width="8" style="572" customWidth="1"/>
    <col min="4882" max="4882" width="8.625" style="572" customWidth="1"/>
    <col min="4883" max="4883" width="9" style="572" customWidth="1"/>
    <col min="4884" max="4884" width="13.5" style="572" customWidth="1"/>
    <col min="4885" max="4885" width="16.125" style="572" bestFit="1" customWidth="1"/>
    <col min="4886" max="4886" width="13.875" style="572" bestFit="1" customWidth="1"/>
    <col min="4887" max="4887" width="7.5" style="572" bestFit="1" customWidth="1"/>
    <col min="4888" max="4888" width="13.875" style="572" customWidth="1"/>
    <col min="4889" max="4890" width="15.625" style="572" customWidth="1"/>
    <col min="4891" max="5123" width="9" style="572"/>
    <col min="5124" max="5124" width="8.5" style="572" customWidth="1"/>
    <col min="5125" max="5125" width="6.375" style="572" customWidth="1"/>
    <col min="5126" max="5126" width="6.625" style="572" customWidth="1"/>
    <col min="5127" max="5127" width="5.125" style="572" customWidth="1"/>
    <col min="5128" max="5128" width="6.5" style="572" customWidth="1"/>
    <col min="5129" max="5129" width="5.375" style="572" customWidth="1"/>
    <col min="5130" max="5130" width="4.625" style="572" customWidth="1"/>
    <col min="5131" max="5131" width="8.625" style="572" customWidth="1"/>
    <col min="5132" max="5132" width="19.875" style="572" customWidth="1"/>
    <col min="5133" max="5133" width="9" style="572"/>
    <col min="5134" max="5134" width="9.875" style="572" customWidth="1"/>
    <col min="5135" max="5135" width="8.875" style="572" customWidth="1"/>
    <col min="5136" max="5136" width="8.625" style="572" customWidth="1"/>
    <col min="5137" max="5137" width="8" style="572" customWidth="1"/>
    <col min="5138" max="5138" width="8.625" style="572" customWidth="1"/>
    <col min="5139" max="5139" width="9" style="572" customWidth="1"/>
    <col min="5140" max="5140" width="13.5" style="572" customWidth="1"/>
    <col min="5141" max="5141" width="16.125" style="572" bestFit="1" customWidth="1"/>
    <col min="5142" max="5142" width="13.875" style="572" bestFit="1" customWidth="1"/>
    <col min="5143" max="5143" width="7.5" style="572" bestFit="1" customWidth="1"/>
    <col min="5144" max="5144" width="13.875" style="572" customWidth="1"/>
    <col min="5145" max="5146" width="15.625" style="572" customWidth="1"/>
    <col min="5147" max="5379" width="9" style="572"/>
    <col min="5380" max="5380" width="8.5" style="572" customWidth="1"/>
    <col min="5381" max="5381" width="6.375" style="572" customWidth="1"/>
    <col min="5382" max="5382" width="6.625" style="572" customWidth="1"/>
    <col min="5383" max="5383" width="5.125" style="572" customWidth="1"/>
    <col min="5384" max="5384" width="6.5" style="572" customWidth="1"/>
    <col min="5385" max="5385" width="5.375" style="572" customWidth="1"/>
    <col min="5386" max="5386" width="4.625" style="572" customWidth="1"/>
    <col min="5387" max="5387" width="8.625" style="572" customWidth="1"/>
    <col min="5388" max="5388" width="19.875" style="572" customWidth="1"/>
    <col min="5389" max="5389" width="9" style="572"/>
    <col min="5390" max="5390" width="9.875" style="572" customWidth="1"/>
    <col min="5391" max="5391" width="8.875" style="572" customWidth="1"/>
    <col min="5392" max="5392" width="8.625" style="572" customWidth="1"/>
    <col min="5393" max="5393" width="8" style="572" customWidth="1"/>
    <col min="5394" max="5394" width="8.625" style="572" customWidth="1"/>
    <col min="5395" max="5395" width="9" style="572" customWidth="1"/>
    <col min="5396" max="5396" width="13.5" style="572" customWidth="1"/>
    <col min="5397" max="5397" width="16.125" style="572" bestFit="1" customWidth="1"/>
    <col min="5398" max="5398" width="13.875" style="572" bestFit="1" customWidth="1"/>
    <col min="5399" max="5399" width="7.5" style="572" bestFit="1" customWidth="1"/>
    <col min="5400" max="5400" width="13.875" style="572" customWidth="1"/>
    <col min="5401" max="5402" width="15.625" style="572" customWidth="1"/>
    <col min="5403" max="5635" width="9" style="572"/>
    <col min="5636" max="5636" width="8.5" style="572" customWidth="1"/>
    <col min="5637" max="5637" width="6.375" style="572" customWidth="1"/>
    <col min="5638" max="5638" width="6.625" style="572" customWidth="1"/>
    <col min="5639" max="5639" width="5.125" style="572" customWidth="1"/>
    <col min="5640" max="5640" width="6.5" style="572" customWidth="1"/>
    <col min="5641" max="5641" width="5.375" style="572" customWidth="1"/>
    <col min="5642" max="5642" width="4.625" style="572" customWidth="1"/>
    <col min="5643" max="5643" width="8.625" style="572" customWidth="1"/>
    <col min="5644" max="5644" width="19.875" style="572" customWidth="1"/>
    <col min="5645" max="5645" width="9" style="572"/>
    <col min="5646" max="5646" width="9.875" style="572" customWidth="1"/>
    <col min="5647" max="5647" width="8.875" style="572" customWidth="1"/>
    <col min="5648" max="5648" width="8.625" style="572" customWidth="1"/>
    <col min="5649" max="5649" width="8" style="572" customWidth="1"/>
    <col min="5650" max="5650" width="8.625" style="572" customWidth="1"/>
    <col min="5651" max="5651" width="9" style="572" customWidth="1"/>
    <col min="5652" max="5652" width="13.5" style="572" customWidth="1"/>
    <col min="5653" max="5653" width="16.125" style="572" bestFit="1" customWidth="1"/>
    <col min="5654" max="5654" width="13.875" style="572" bestFit="1" customWidth="1"/>
    <col min="5655" max="5655" width="7.5" style="572" bestFit="1" customWidth="1"/>
    <col min="5656" max="5656" width="13.875" style="572" customWidth="1"/>
    <col min="5657" max="5658" width="15.625" style="572" customWidth="1"/>
    <col min="5659" max="5891" width="9" style="572"/>
    <col min="5892" max="5892" width="8.5" style="572" customWidth="1"/>
    <col min="5893" max="5893" width="6.375" style="572" customWidth="1"/>
    <col min="5894" max="5894" width="6.625" style="572" customWidth="1"/>
    <col min="5895" max="5895" width="5.125" style="572" customWidth="1"/>
    <col min="5896" max="5896" width="6.5" style="572" customWidth="1"/>
    <col min="5897" max="5897" width="5.375" style="572" customWidth="1"/>
    <col min="5898" max="5898" width="4.625" style="572" customWidth="1"/>
    <col min="5899" max="5899" width="8.625" style="572" customWidth="1"/>
    <col min="5900" max="5900" width="19.875" style="572" customWidth="1"/>
    <col min="5901" max="5901" width="9" style="572"/>
    <col min="5902" max="5902" width="9.875" style="572" customWidth="1"/>
    <col min="5903" max="5903" width="8.875" style="572" customWidth="1"/>
    <col min="5904" max="5904" width="8.625" style="572" customWidth="1"/>
    <col min="5905" max="5905" width="8" style="572" customWidth="1"/>
    <col min="5906" max="5906" width="8.625" style="572" customWidth="1"/>
    <col min="5907" max="5907" width="9" style="572" customWidth="1"/>
    <col min="5908" max="5908" width="13.5" style="572" customWidth="1"/>
    <col min="5909" max="5909" width="16.125" style="572" bestFit="1" customWidth="1"/>
    <col min="5910" max="5910" width="13.875" style="572" bestFit="1" customWidth="1"/>
    <col min="5911" max="5911" width="7.5" style="572" bestFit="1" customWidth="1"/>
    <col min="5912" max="5912" width="13.875" style="572" customWidth="1"/>
    <col min="5913" max="5914" width="15.625" style="572" customWidth="1"/>
    <col min="5915" max="6147" width="9" style="572"/>
    <col min="6148" max="6148" width="8.5" style="572" customWidth="1"/>
    <col min="6149" max="6149" width="6.375" style="572" customWidth="1"/>
    <col min="6150" max="6150" width="6.625" style="572" customWidth="1"/>
    <col min="6151" max="6151" width="5.125" style="572" customWidth="1"/>
    <col min="6152" max="6152" width="6.5" style="572" customWidth="1"/>
    <col min="6153" max="6153" width="5.375" style="572" customWidth="1"/>
    <col min="6154" max="6154" width="4.625" style="572" customWidth="1"/>
    <col min="6155" max="6155" width="8.625" style="572" customWidth="1"/>
    <col min="6156" max="6156" width="19.875" style="572" customWidth="1"/>
    <col min="6157" max="6157" width="9" style="572"/>
    <col min="6158" max="6158" width="9.875" style="572" customWidth="1"/>
    <col min="6159" max="6159" width="8.875" style="572" customWidth="1"/>
    <col min="6160" max="6160" width="8.625" style="572" customWidth="1"/>
    <col min="6161" max="6161" width="8" style="572" customWidth="1"/>
    <col min="6162" max="6162" width="8.625" style="572" customWidth="1"/>
    <col min="6163" max="6163" width="9" style="572" customWidth="1"/>
    <col min="6164" max="6164" width="13.5" style="572" customWidth="1"/>
    <col min="6165" max="6165" width="16.125" style="572" bestFit="1" customWidth="1"/>
    <col min="6166" max="6166" width="13.875" style="572" bestFit="1" customWidth="1"/>
    <col min="6167" max="6167" width="7.5" style="572" bestFit="1" customWidth="1"/>
    <col min="6168" max="6168" width="13.875" style="572" customWidth="1"/>
    <col min="6169" max="6170" width="15.625" style="572" customWidth="1"/>
    <col min="6171" max="6403" width="9" style="572"/>
    <col min="6404" max="6404" width="8.5" style="572" customWidth="1"/>
    <col min="6405" max="6405" width="6.375" style="572" customWidth="1"/>
    <col min="6406" max="6406" width="6.625" style="572" customWidth="1"/>
    <col min="6407" max="6407" width="5.125" style="572" customWidth="1"/>
    <col min="6408" max="6408" width="6.5" style="572" customWidth="1"/>
    <col min="6409" max="6409" width="5.375" style="572" customWidth="1"/>
    <col min="6410" max="6410" width="4.625" style="572" customWidth="1"/>
    <col min="6411" max="6411" width="8.625" style="572" customWidth="1"/>
    <col min="6412" max="6412" width="19.875" style="572" customWidth="1"/>
    <col min="6413" max="6413" width="9" style="572"/>
    <col min="6414" max="6414" width="9.875" style="572" customWidth="1"/>
    <col min="6415" max="6415" width="8.875" style="572" customWidth="1"/>
    <col min="6416" max="6416" width="8.625" style="572" customWidth="1"/>
    <col min="6417" max="6417" width="8" style="572" customWidth="1"/>
    <col min="6418" max="6418" width="8.625" style="572" customWidth="1"/>
    <col min="6419" max="6419" width="9" style="572" customWidth="1"/>
    <col min="6420" max="6420" width="13.5" style="572" customWidth="1"/>
    <col min="6421" max="6421" width="16.125" style="572" bestFit="1" customWidth="1"/>
    <col min="6422" max="6422" width="13.875" style="572" bestFit="1" customWidth="1"/>
    <col min="6423" max="6423" width="7.5" style="572" bestFit="1" customWidth="1"/>
    <col min="6424" max="6424" width="13.875" style="572" customWidth="1"/>
    <col min="6425" max="6426" width="15.625" style="572" customWidth="1"/>
    <col min="6427" max="6659" width="9" style="572"/>
    <col min="6660" max="6660" width="8.5" style="572" customWidth="1"/>
    <col min="6661" max="6661" width="6.375" style="572" customWidth="1"/>
    <col min="6662" max="6662" width="6.625" style="572" customWidth="1"/>
    <col min="6663" max="6663" width="5.125" style="572" customWidth="1"/>
    <col min="6664" max="6664" width="6.5" style="572" customWidth="1"/>
    <col min="6665" max="6665" width="5.375" style="572" customWidth="1"/>
    <col min="6666" max="6666" width="4.625" style="572" customWidth="1"/>
    <col min="6667" max="6667" width="8.625" style="572" customWidth="1"/>
    <col min="6668" max="6668" width="19.875" style="572" customWidth="1"/>
    <col min="6669" max="6669" width="9" style="572"/>
    <col min="6670" max="6670" width="9.875" style="572" customWidth="1"/>
    <col min="6671" max="6671" width="8.875" style="572" customWidth="1"/>
    <col min="6672" max="6672" width="8.625" style="572" customWidth="1"/>
    <col min="6673" max="6673" width="8" style="572" customWidth="1"/>
    <col min="6674" max="6674" width="8.625" style="572" customWidth="1"/>
    <col min="6675" max="6675" width="9" style="572" customWidth="1"/>
    <col min="6676" max="6676" width="13.5" style="572" customWidth="1"/>
    <col min="6677" max="6677" width="16.125" style="572" bestFit="1" customWidth="1"/>
    <col min="6678" max="6678" width="13.875" style="572" bestFit="1" customWidth="1"/>
    <col min="6679" max="6679" width="7.5" style="572" bestFit="1" customWidth="1"/>
    <col min="6680" max="6680" width="13.875" style="572" customWidth="1"/>
    <col min="6681" max="6682" width="15.625" style="572" customWidth="1"/>
    <col min="6683" max="6915" width="9" style="572"/>
    <col min="6916" max="6916" width="8.5" style="572" customWidth="1"/>
    <col min="6917" max="6917" width="6.375" style="572" customWidth="1"/>
    <col min="6918" max="6918" width="6.625" style="572" customWidth="1"/>
    <col min="6919" max="6919" width="5.125" style="572" customWidth="1"/>
    <col min="6920" max="6920" width="6.5" style="572" customWidth="1"/>
    <col min="6921" max="6921" width="5.375" style="572" customWidth="1"/>
    <col min="6922" max="6922" width="4.625" style="572" customWidth="1"/>
    <col min="6923" max="6923" width="8.625" style="572" customWidth="1"/>
    <col min="6924" max="6924" width="19.875" style="572" customWidth="1"/>
    <col min="6925" max="6925" width="9" style="572"/>
    <col min="6926" max="6926" width="9.875" style="572" customWidth="1"/>
    <col min="6927" max="6927" width="8.875" style="572" customWidth="1"/>
    <col min="6928" max="6928" width="8.625" style="572" customWidth="1"/>
    <col min="6929" max="6929" width="8" style="572" customWidth="1"/>
    <col min="6930" max="6930" width="8.625" style="572" customWidth="1"/>
    <col min="6931" max="6931" width="9" style="572" customWidth="1"/>
    <col min="6932" max="6932" width="13.5" style="572" customWidth="1"/>
    <col min="6933" max="6933" width="16.125" style="572" bestFit="1" customWidth="1"/>
    <col min="6934" max="6934" width="13.875" style="572" bestFit="1" customWidth="1"/>
    <col min="6935" max="6935" width="7.5" style="572" bestFit="1" customWidth="1"/>
    <col min="6936" max="6936" width="13.875" style="572" customWidth="1"/>
    <col min="6937" max="6938" width="15.625" style="572" customWidth="1"/>
    <col min="6939" max="7171" width="9" style="572"/>
    <col min="7172" max="7172" width="8.5" style="572" customWidth="1"/>
    <col min="7173" max="7173" width="6.375" style="572" customWidth="1"/>
    <col min="7174" max="7174" width="6.625" style="572" customWidth="1"/>
    <col min="7175" max="7175" width="5.125" style="572" customWidth="1"/>
    <col min="7176" max="7176" width="6.5" style="572" customWidth="1"/>
    <col min="7177" max="7177" width="5.375" style="572" customWidth="1"/>
    <col min="7178" max="7178" width="4.625" style="572" customWidth="1"/>
    <col min="7179" max="7179" width="8.625" style="572" customWidth="1"/>
    <col min="7180" max="7180" width="19.875" style="572" customWidth="1"/>
    <col min="7181" max="7181" width="9" style="572"/>
    <col min="7182" max="7182" width="9.875" style="572" customWidth="1"/>
    <col min="7183" max="7183" width="8.875" style="572" customWidth="1"/>
    <col min="7184" max="7184" width="8.625" style="572" customWidth="1"/>
    <col min="7185" max="7185" width="8" style="572" customWidth="1"/>
    <col min="7186" max="7186" width="8.625" style="572" customWidth="1"/>
    <col min="7187" max="7187" width="9" style="572" customWidth="1"/>
    <col min="7188" max="7188" width="13.5" style="572" customWidth="1"/>
    <col min="7189" max="7189" width="16.125" style="572" bestFit="1" customWidth="1"/>
    <col min="7190" max="7190" width="13.875" style="572" bestFit="1" customWidth="1"/>
    <col min="7191" max="7191" width="7.5" style="572" bestFit="1" customWidth="1"/>
    <col min="7192" max="7192" width="13.875" style="572" customWidth="1"/>
    <col min="7193" max="7194" width="15.625" style="572" customWidth="1"/>
    <col min="7195" max="7427" width="9" style="572"/>
    <col min="7428" max="7428" width="8.5" style="572" customWidth="1"/>
    <col min="7429" max="7429" width="6.375" style="572" customWidth="1"/>
    <col min="7430" max="7430" width="6.625" style="572" customWidth="1"/>
    <col min="7431" max="7431" width="5.125" style="572" customWidth="1"/>
    <col min="7432" max="7432" width="6.5" style="572" customWidth="1"/>
    <col min="7433" max="7433" width="5.375" style="572" customWidth="1"/>
    <col min="7434" max="7434" width="4.625" style="572" customWidth="1"/>
    <col min="7435" max="7435" width="8.625" style="572" customWidth="1"/>
    <col min="7436" max="7436" width="19.875" style="572" customWidth="1"/>
    <col min="7437" max="7437" width="9" style="572"/>
    <col min="7438" max="7438" width="9.875" style="572" customWidth="1"/>
    <col min="7439" max="7439" width="8.875" style="572" customWidth="1"/>
    <col min="7440" max="7440" width="8.625" style="572" customWidth="1"/>
    <col min="7441" max="7441" width="8" style="572" customWidth="1"/>
    <col min="7442" max="7442" width="8.625" style="572" customWidth="1"/>
    <col min="7443" max="7443" width="9" style="572" customWidth="1"/>
    <col min="7444" max="7444" width="13.5" style="572" customWidth="1"/>
    <col min="7445" max="7445" width="16.125" style="572" bestFit="1" customWidth="1"/>
    <col min="7446" max="7446" width="13.875" style="572" bestFit="1" customWidth="1"/>
    <col min="7447" max="7447" width="7.5" style="572" bestFit="1" customWidth="1"/>
    <col min="7448" max="7448" width="13.875" style="572" customWidth="1"/>
    <col min="7449" max="7450" width="15.625" style="572" customWidth="1"/>
    <col min="7451" max="7683" width="9" style="572"/>
    <col min="7684" max="7684" width="8.5" style="572" customWidth="1"/>
    <col min="7685" max="7685" width="6.375" style="572" customWidth="1"/>
    <col min="7686" max="7686" width="6.625" style="572" customWidth="1"/>
    <col min="7687" max="7687" width="5.125" style="572" customWidth="1"/>
    <col min="7688" max="7688" width="6.5" style="572" customWidth="1"/>
    <col min="7689" max="7689" width="5.375" style="572" customWidth="1"/>
    <col min="7690" max="7690" width="4.625" style="572" customWidth="1"/>
    <col min="7691" max="7691" width="8.625" style="572" customWidth="1"/>
    <col min="7692" max="7692" width="19.875" style="572" customWidth="1"/>
    <col min="7693" max="7693" width="9" style="572"/>
    <col min="7694" max="7694" width="9.875" style="572" customWidth="1"/>
    <col min="7695" max="7695" width="8.875" style="572" customWidth="1"/>
    <col min="7696" max="7696" width="8.625" style="572" customWidth="1"/>
    <col min="7697" max="7697" width="8" style="572" customWidth="1"/>
    <col min="7698" max="7698" width="8.625" style="572" customWidth="1"/>
    <col min="7699" max="7699" width="9" style="572" customWidth="1"/>
    <col min="7700" max="7700" width="13.5" style="572" customWidth="1"/>
    <col min="7701" max="7701" width="16.125" style="572" bestFit="1" customWidth="1"/>
    <col min="7702" max="7702" width="13.875" style="572" bestFit="1" customWidth="1"/>
    <col min="7703" max="7703" width="7.5" style="572" bestFit="1" customWidth="1"/>
    <col min="7704" max="7704" width="13.875" style="572" customWidth="1"/>
    <col min="7705" max="7706" width="15.625" style="572" customWidth="1"/>
    <col min="7707" max="7939" width="9" style="572"/>
    <col min="7940" max="7940" width="8.5" style="572" customWidth="1"/>
    <col min="7941" max="7941" width="6.375" style="572" customWidth="1"/>
    <col min="7942" max="7942" width="6.625" style="572" customWidth="1"/>
    <col min="7943" max="7943" width="5.125" style="572" customWidth="1"/>
    <col min="7944" max="7944" width="6.5" style="572" customWidth="1"/>
    <col min="7945" max="7945" width="5.375" style="572" customWidth="1"/>
    <col min="7946" max="7946" width="4.625" style="572" customWidth="1"/>
    <col min="7947" max="7947" width="8.625" style="572" customWidth="1"/>
    <col min="7948" max="7948" width="19.875" style="572" customWidth="1"/>
    <col min="7949" max="7949" width="9" style="572"/>
    <col min="7950" max="7950" width="9.875" style="572" customWidth="1"/>
    <col min="7951" max="7951" width="8.875" style="572" customWidth="1"/>
    <col min="7952" max="7952" width="8.625" style="572" customWidth="1"/>
    <col min="7953" max="7953" width="8" style="572" customWidth="1"/>
    <col min="7954" max="7954" width="8.625" style="572" customWidth="1"/>
    <col min="7955" max="7955" width="9" style="572" customWidth="1"/>
    <col min="7956" max="7956" width="13.5" style="572" customWidth="1"/>
    <col min="7957" max="7957" width="16.125" style="572" bestFit="1" customWidth="1"/>
    <col min="7958" max="7958" width="13.875" style="572" bestFit="1" customWidth="1"/>
    <col min="7959" max="7959" width="7.5" style="572" bestFit="1" customWidth="1"/>
    <col min="7960" max="7960" width="13.875" style="572" customWidth="1"/>
    <col min="7961" max="7962" width="15.625" style="572" customWidth="1"/>
    <col min="7963" max="8195" width="9" style="572"/>
    <col min="8196" max="8196" width="8.5" style="572" customWidth="1"/>
    <col min="8197" max="8197" width="6.375" style="572" customWidth="1"/>
    <col min="8198" max="8198" width="6.625" style="572" customWidth="1"/>
    <col min="8199" max="8199" width="5.125" style="572" customWidth="1"/>
    <col min="8200" max="8200" width="6.5" style="572" customWidth="1"/>
    <col min="8201" max="8201" width="5.375" style="572" customWidth="1"/>
    <col min="8202" max="8202" width="4.625" style="572" customWidth="1"/>
    <col min="8203" max="8203" width="8.625" style="572" customWidth="1"/>
    <col min="8204" max="8204" width="19.875" style="572" customWidth="1"/>
    <col min="8205" max="8205" width="9" style="572"/>
    <col min="8206" max="8206" width="9.875" style="572" customWidth="1"/>
    <col min="8207" max="8207" width="8.875" style="572" customWidth="1"/>
    <col min="8208" max="8208" width="8.625" style="572" customWidth="1"/>
    <col min="8209" max="8209" width="8" style="572" customWidth="1"/>
    <col min="8210" max="8210" width="8.625" style="572" customWidth="1"/>
    <col min="8211" max="8211" width="9" style="572" customWidth="1"/>
    <col min="8212" max="8212" width="13.5" style="572" customWidth="1"/>
    <col min="8213" max="8213" width="16.125" style="572" bestFit="1" customWidth="1"/>
    <col min="8214" max="8214" width="13.875" style="572" bestFit="1" customWidth="1"/>
    <col min="8215" max="8215" width="7.5" style="572" bestFit="1" customWidth="1"/>
    <col min="8216" max="8216" width="13.875" style="572" customWidth="1"/>
    <col min="8217" max="8218" width="15.625" style="572" customWidth="1"/>
    <col min="8219" max="8451" width="9" style="572"/>
    <col min="8452" max="8452" width="8.5" style="572" customWidth="1"/>
    <col min="8453" max="8453" width="6.375" style="572" customWidth="1"/>
    <col min="8454" max="8454" width="6.625" style="572" customWidth="1"/>
    <col min="8455" max="8455" width="5.125" style="572" customWidth="1"/>
    <col min="8456" max="8456" width="6.5" style="572" customWidth="1"/>
    <col min="8457" max="8457" width="5.375" style="572" customWidth="1"/>
    <col min="8458" max="8458" width="4.625" style="572" customWidth="1"/>
    <col min="8459" max="8459" width="8.625" style="572" customWidth="1"/>
    <col min="8460" max="8460" width="19.875" style="572" customWidth="1"/>
    <col min="8461" max="8461" width="9" style="572"/>
    <col min="8462" max="8462" width="9.875" style="572" customWidth="1"/>
    <col min="8463" max="8463" width="8.875" style="572" customWidth="1"/>
    <col min="8464" max="8464" width="8.625" style="572" customWidth="1"/>
    <col min="8465" max="8465" width="8" style="572" customWidth="1"/>
    <col min="8466" max="8466" width="8.625" style="572" customWidth="1"/>
    <col min="8467" max="8467" width="9" style="572" customWidth="1"/>
    <col min="8468" max="8468" width="13.5" style="572" customWidth="1"/>
    <col min="8469" max="8469" width="16.125" style="572" bestFit="1" customWidth="1"/>
    <col min="8470" max="8470" width="13.875" style="572" bestFit="1" customWidth="1"/>
    <col min="8471" max="8471" width="7.5" style="572" bestFit="1" customWidth="1"/>
    <col min="8472" max="8472" width="13.875" style="572" customWidth="1"/>
    <col min="8473" max="8474" width="15.625" style="572" customWidth="1"/>
    <col min="8475" max="8707" width="9" style="572"/>
    <col min="8708" max="8708" width="8.5" style="572" customWidth="1"/>
    <col min="8709" max="8709" width="6.375" style="572" customWidth="1"/>
    <col min="8710" max="8710" width="6.625" style="572" customWidth="1"/>
    <col min="8711" max="8711" width="5.125" style="572" customWidth="1"/>
    <col min="8712" max="8712" width="6.5" style="572" customWidth="1"/>
    <col min="8713" max="8713" width="5.375" style="572" customWidth="1"/>
    <col min="8714" max="8714" width="4.625" style="572" customWidth="1"/>
    <col min="8715" max="8715" width="8.625" style="572" customWidth="1"/>
    <col min="8716" max="8716" width="19.875" style="572" customWidth="1"/>
    <col min="8717" max="8717" width="9" style="572"/>
    <col min="8718" max="8718" width="9.875" style="572" customWidth="1"/>
    <col min="8719" max="8719" width="8.875" style="572" customWidth="1"/>
    <col min="8720" max="8720" width="8.625" style="572" customWidth="1"/>
    <col min="8721" max="8721" width="8" style="572" customWidth="1"/>
    <col min="8722" max="8722" width="8.625" style="572" customWidth="1"/>
    <col min="8723" max="8723" width="9" style="572" customWidth="1"/>
    <col min="8724" max="8724" width="13.5" style="572" customWidth="1"/>
    <col min="8725" max="8725" width="16.125" style="572" bestFit="1" customWidth="1"/>
    <col min="8726" max="8726" width="13.875" style="572" bestFit="1" customWidth="1"/>
    <col min="8727" max="8727" width="7.5" style="572" bestFit="1" customWidth="1"/>
    <col min="8728" max="8728" width="13.875" style="572" customWidth="1"/>
    <col min="8729" max="8730" width="15.625" style="572" customWidth="1"/>
    <col min="8731" max="8963" width="9" style="572"/>
    <col min="8964" max="8964" width="8.5" style="572" customWidth="1"/>
    <col min="8965" max="8965" width="6.375" style="572" customWidth="1"/>
    <col min="8966" max="8966" width="6.625" style="572" customWidth="1"/>
    <col min="8967" max="8967" width="5.125" style="572" customWidth="1"/>
    <col min="8968" max="8968" width="6.5" style="572" customWidth="1"/>
    <col min="8969" max="8969" width="5.375" style="572" customWidth="1"/>
    <col min="8970" max="8970" width="4.625" style="572" customWidth="1"/>
    <col min="8971" max="8971" width="8.625" style="572" customWidth="1"/>
    <col min="8972" max="8972" width="19.875" style="572" customWidth="1"/>
    <col min="8973" max="8973" width="9" style="572"/>
    <col min="8974" max="8974" width="9.875" style="572" customWidth="1"/>
    <col min="8975" max="8975" width="8.875" style="572" customWidth="1"/>
    <col min="8976" max="8976" width="8.625" style="572" customWidth="1"/>
    <col min="8977" max="8977" width="8" style="572" customWidth="1"/>
    <col min="8978" max="8978" width="8.625" style="572" customWidth="1"/>
    <col min="8979" max="8979" width="9" style="572" customWidth="1"/>
    <col min="8980" max="8980" width="13.5" style="572" customWidth="1"/>
    <col min="8981" max="8981" width="16.125" style="572" bestFit="1" customWidth="1"/>
    <col min="8982" max="8982" width="13.875" style="572" bestFit="1" customWidth="1"/>
    <col min="8983" max="8983" width="7.5" style="572" bestFit="1" customWidth="1"/>
    <col min="8984" max="8984" width="13.875" style="572" customWidth="1"/>
    <col min="8985" max="8986" width="15.625" style="572" customWidth="1"/>
    <col min="8987" max="9219" width="9" style="572"/>
    <col min="9220" max="9220" width="8.5" style="572" customWidth="1"/>
    <col min="9221" max="9221" width="6.375" style="572" customWidth="1"/>
    <col min="9222" max="9222" width="6.625" style="572" customWidth="1"/>
    <col min="9223" max="9223" width="5.125" style="572" customWidth="1"/>
    <col min="9224" max="9224" width="6.5" style="572" customWidth="1"/>
    <col min="9225" max="9225" width="5.375" style="572" customWidth="1"/>
    <col min="9226" max="9226" width="4.625" style="572" customWidth="1"/>
    <col min="9227" max="9227" width="8.625" style="572" customWidth="1"/>
    <col min="9228" max="9228" width="19.875" style="572" customWidth="1"/>
    <col min="9229" max="9229" width="9" style="572"/>
    <col min="9230" max="9230" width="9.875" style="572" customWidth="1"/>
    <col min="9231" max="9231" width="8.875" style="572" customWidth="1"/>
    <col min="9232" max="9232" width="8.625" style="572" customWidth="1"/>
    <col min="9233" max="9233" width="8" style="572" customWidth="1"/>
    <col min="9234" max="9234" width="8.625" style="572" customWidth="1"/>
    <col min="9235" max="9235" width="9" style="572" customWidth="1"/>
    <col min="9236" max="9236" width="13.5" style="572" customWidth="1"/>
    <col min="9237" max="9237" width="16.125" style="572" bestFit="1" customWidth="1"/>
    <col min="9238" max="9238" width="13.875" style="572" bestFit="1" customWidth="1"/>
    <col min="9239" max="9239" width="7.5" style="572" bestFit="1" customWidth="1"/>
    <col min="9240" max="9240" width="13.875" style="572" customWidth="1"/>
    <col min="9241" max="9242" width="15.625" style="572" customWidth="1"/>
    <col min="9243" max="9475" width="9" style="572"/>
    <col min="9476" max="9476" width="8.5" style="572" customWidth="1"/>
    <col min="9477" max="9477" width="6.375" style="572" customWidth="1"/>
    <col min="9478" max="9478" width="6.625" style="572" customWidth="1"/>
    <col min="9479" max="9479" width="5.125" style="572" customWidth="1"/>
    <col min="9480" max="9480" width="6.5" style="572" customWidth="1"/>
    <col min="9481" max="9481" width="5.375" style="572" customWidth="1"/>
    <col min="9482" max="9482" width="4.625" style="572" customWidth="1"/>
    <col min="9483" max="9483" width="8.625" style="572" customWidth="1"/>
    <col min="9484" max="9484" width="19.875" style="572" customWidth="1"/>
    <col min="9485" max="9485" width="9" style="572"/>
    <col min="9486" max="9486" width="9.875" style="572" customWidth="1"/>
    <col min="9487" max="9487" width="8.875" style="572" customWidth="1"/>
    <col min="9488" max="9488" width="8.625" style="572" customWidth="1"/>
    <col min="9489" max="9489" width="8" style="572" customWidth="1"/>
    <col min="9490" max="9490" width="8.625" style="572" customWidth="1"/>
    <col min="9491" max="9491" width="9" style="572" customWidth="1"/>
    <col min="9492" max="9492" width="13.5" style="572" customWidth="1"/>
    <col min="9493" max="9493" width="16.125" style="572" bestFit="1" customWidth="1"/>
    <col min="9494" max="9494" width="13.875" style="572" bestFit="1" customWidth="1"/>
    <col min="9495" max="9495" width="7.5" style="572" bestFit="1" customWidth="1"/>
    <col min="9496" max="9496" width="13.875" style="572" customWidth="1"/>
    <col min="9497" max="9498" width="15.625" style="572" customWidth="1"/>
    <col min="9499" max="9731" width="9" style="572"/>
    <col min="9732" max="9732" width="8.5" style="572" customWidth="1"/>
    <col min="9733" max="9733" width="6.375" style="572" customWidth="1"/>
    <col min="9734" max="9734" width="6.625" style="572" customWidth="1"/>
    <col min="9735" max="9735" width="5.125" style="572" customWidth="1"/>
    <col min="9736" max="9736" width="6.5" style="572" customWidth="1"/>
    <col min="9737" max="9737" width="5.375" style="572" customWidth="1"/>
    <col min="9738" max="9738" width="4.625" style="572" customWidth="1"/>
    <col min="9739" max="9739" width="8.625" style="572" customWidth="1"/>
    <col min="9740" max="9740" width="19.875" style="572" customWidth="1"/>
    <col min="9741" max="9741" width="9" style="572"/>
    <col min="9742" max="9742" width="9.875" style="572" customWidth="1"/>
    <col min="9743" max="9743" width="8.875" style="572" customWidth="1"/>
    <col min="9744" max="9744" width="8.625" style="572" customWidth="1"/>
    <col min="9745" max="9745" width="8" style="572" customWidth="1"/>
    <col min="9746" max="9746" width="8.625" style="572" customWidth="1"/>
    <col min="9747" max="9747" width="9" style="572" customWidth="1"/>
    <col min="9748" max="9748" width="13.5" style="572" customWidth="1"/>
    <col min="9749" max="9749" width="16.125" style="572" bestFit="1" customWidth="1"/>
    <col min="9750" max="9750" width="13.875" style="572" bestFit="1" customWidth="1"/>
    <col min="9751" max="9751" width="7.5" style="572" bestFit="1" customWidth="1"/>
    <col min="9752" max="9752" width="13.875" style="572" customWidth="1"/>
    <col min="9753" max="9754" width="15.625" style="572" customWidth="1"/>
    <col min="9755" max="9987" width="9" style="572"/>
    <col min="9988" max="9988" width="8.5" style="572" customWidth="1"/>
    <col min="9989" max="9989" width="6.375" style="572" customWidth="1"/>
    <col min="9990" max="9990" width="6.625" style="572" customWidth="1"/>
    <col min="9991" max="9991" width="5.125" style="572" customWidth="1"/>
    <col min="9992" max="9992" width="6.5" style="572" customWidth="1"/>
    <col min="9993" max="9993" width="5.375" style="572" customWidth="1"/>
    <col min="9994" max="9994" width="4.625" style="572" customWidth="1"/>
    <col min="9995" max="9995" width="8.625" style="572" customWidth="1"/>
    <col min="9996" max="9996" width="19.875" style="572" customWidth="1"/>
    <col min="9997" max="9997" width="9" style="572"/>
    <col min="9998" max="9998" width="9.875" style="572" customWidth="1"/>
    <col min="9999" max="9999" width="8.875" style="572" customWidth="1"/>
    <col min="10000" max="10000" width="8.625" style="572" customWidth="1"/>
    <col min="10001" max="10001" width="8" style="572" customWidth="1"/>
    <col min="10002" max="10002" width="8.625" style="572" customWidth="1"/>
    <col min="10003" max="10003" width="9" style="572" customWidth="1"/>
    <col min="10004" max="10004" width="13.5" style="572" customWidth="1"/>
    <col min="10005" max="10005" width="16.125" style="572" bestFit="1" customWidth="1"/>
    <col min="10006" max="10006" width="13.875" style="572" bestFit="1" customWidth="1"/>
    <col min="10007" max="10007" width="7.5" style="572" bestFit="1" customWidth="1"/>
    <col min="10008" max="10008" width="13.875" style="572" customWidth="1"/>
    <col min="10009" max="10010" width="15.625" style="572" customWidth="1"/>
    <col min="10011" max="10243" width="9" style="572"/>
    <col min="10244" max="10244" width="8.5" style="572" customWidth="1"/>
    <col min="10245" max="10245" width="6.375" style="572" customWidth="1"/>
    <col min="10246" max="10246" width="6.625" style="572" customWidth="1"/>
    <col min="10247" max="10247" width="5.125" style="572" customWidth="1"/>
    <col min="10248" max="10248" width="6.5" style="572" customWidth="1"/>
    <col min="10249" max="10249" width="5.375" style="572" customWidth="1"/>
    <col min="10250" max="10250" width="4.625" style="572" customWidth="1"/>
    <col min="10251" max="10251" width="8.625" style="572" customWidth="1"/>
    <col min="10252" max="10252" width="19.875" style="572" customWidth="1"/>
    <col min="10253" max="10253" width="9" style="572"/>
    <col min="10254" max="10254" width="9.875" style="572" customWidth="1"/>
    <col min="10255" max="10255" width="8.875" style="572" customWidth="1"/>
    <col min="10256" max="10256" width="8.625" style="572" customWidth="1"/>
    <col min="10257" max="10257" width="8" style="572" customWidth="1"/>
    <col min="10258" max="10258" width="8.625" style="572" customWidth="1"/>
    <col min="10259" max="10259" width="9" style="572" customWidth="1"/>
    <col min="10260" max="10260" width="13.5" style="572" customWidth="1"/>
    <col min="10261" max="10261" width="16.125" style="572" bestFit="1" customWidth="1"/>
    <col min="10262" max="10262" width="13.875" style="572" bestFit="1" customWidth="1"/>
    <col min="10263" max="10263" width="7.5" style="572" bestFit="1" customWidth="1"/>
    <col min="10264" max="10264" width="13.875" style="572" customWidth="1"/>
    <col min="10265" max="10266" width="15.625" style="572" customWidth="1"/>
    <col min="10267" max="10499" width="9" style="572"/>
    <col min="10500" max="10500" width="8.5" style="572" customWidth="1"/>
    <col min="10501" max="10501" width="6.375" style="572" customWidth="1"/>
    <col min="10502" max="10502" width="6.625" style="572" customWidth="1"/>
    <col min="10503" max="10503" width="5.125" style="572" customWidth="1"/>
    <col min="10504" max="10504" width="6.5" style="572" customWidth="1"/>
    <col min="10505" max="10505" width="5.375" style="572" customWidth="1"/>
    <col min="10506" max="10506" width="4.625" style="572" customWidth="1"/>
    <col min="10507" max="10507" width="8.625" style="572" customWidth="1"/>
    <col min="10508" max="10508" width="19.875" style="572" customWidth="1"/>
    <col min="10509" max="10509" width="9" style="572"/>
    <col min="10510" max="10510" width="9.875" style="572" customWidth="1"/>
    <col min="10511" max="10511" width="8.875" style="572" customWidth="1"/>
    <col min="10512" max="10512" width="8.625" style="572" customWidth="1"/>
    <col min="10513" max="10513" width="8" style="572" customWidth="1"/>
    <col min="10514" max="10514" width="8.625" style="572" customWidth="1"/>
    <col min="10515" max="10515" width="9" style="572" customWidth="1"/>
    <col min="10516" max="10516" width="13.5" style="572" customWidth="1"/>
    <col min="10517" max="10517" width="16.125" style="572" bestFit="1" customWidth="1"/>
    <col min="10518" max="10518" width="13.875" style="572" bestFit="1" customWidth="1"/>
    <col min="10519" max="10519" width="7.5" style="572" bestFit="1" customWidth="1"/>
    <col min="10520" max="10520" width="13.875" style="572" customWidth="1"/>
    <col min="10521" max="10522" width="15.625" style="572" customWidth="1"/>
    <col min="10523" max="10755" width="9" style="572"/>
    <col min="10756" max="10756" width="8.5" style="572" customWidth="1"/>
    <col min="10757" max="10757" width="6.375" style="572" customWidth="1"/>
    <col min="10758" max="10758" width="6.625" style="572" customWidth="1"/>
    <col min="10759" max="10759" width="5.125" style="572" customWidth="1"/>
    <col min="10760" max="10760" width="6.5" style="572" customWidth="1"/>
    <col min="10761" max="10761" width="5.375" style="572" customWidth="1"/>
    <col min="10762" max="10762" width="4.625" style="572" customWidth="1"/>
    <col min="10763" max="10763" width="8.625" style="572" customWidth="1"/>
    <col min="10764" max="10764" width="19.875" style="572" customWidth="1"/>
    <col min="10765" max="10765" width="9" style="572"/>
    <col min="10766" max="10766" width="9.875" style="572" customWidth="1"/>
    <col min="10767" max="10767" width="8.875" style="572" customWidth="1"/>
    <col min="10768" max="10768" width="8.625" style="572" customWidth="1"/>
    <col min="10769" max="10769" width="8" style="572" customWidth="1"/>
    <col min="10770" max="10770" width="8.625" style="572" customWidth="1"/>
    <col min="10771" max="10771" width="9" style="572" customWidth="1"/>
    <col min="10772" max="10772" width="13.5" style="572" customWidth="1"/>
    <col min="10773" max="10773" width="16.125" style="572" bestFit="1" customWidth="1"/>
    <col min="10774" max="10774" width="13.875" style="572" bestFit="1" customWidth="1"/>
    <col min="10775" max="10775" width="7.5" style="572" bestFit="1" customWidth="1"/>
    <col min="10776" max="10776" width="13.875" style="572" customWidth="1"/>
    <col min="10777" max="10778" width="15.625" style="572" customWidth="1"/>
    <col min="10779" max="11011" width="9" style="572"/>
    <col min="11012" max="11012" width="8.5" style="572" customWidth="1"/>
    <col min="11013" max="11013" width="6.375" style="572" customWidth="1"/>
    <col min="11014" max="11014" width="6.625" style="572" customWidth="1"/>
    <col min="11015" max="11015" width="5.125" style="572" customWidth="1"/>
    <col min="11016" max="11016" width="6.5" style="572" customWidth="1"/>
    <col min="11017" max="11017" width="5.375" style="572" customWidth="1"/>
    <col min="11018" max="11018" width="4.625" style="572" customWidth="1"/>
    <col min="11019" max="11019" width="8.625" style="572" customWidth="1"/>
    <col min="11020" max="11020" width="19.875" style="572" customWidth="1"/>
    <col min="11021" max="11021" width="9" style="572"/>
    <col min="11022" max="11022" width="9.875" style="572" customWidth="1"/>
    <col min="11023" max="11023" width="8.875" style="572" customWidth="1"/>
    <col min="11024" max="11024" width="8.625" style="572" customWidth="1"/>
    <col min="11025" max="11025" width="8" style="572" customWidth="1"/>
    <col min="11026" max="11026" width="8.625" style="572" customWidth="1"/>
    <col min="11027" max="11027" width="9" style="572" customWidth="1"/>
    <col min="11028" max="11028" width="13.5" style="572" customWidth="1"/>
    <col min="11029" max="11029" width="16.125" style="572" bestFit="1" customWidth="1"/>
    <col min="11030" max="11030" width="13.875" style="572" bestFit="1" customWidth="1"/>
    <col min="11031" max="11031" width="7.5" style="572" bestFit="1" customWidth="1"/>
    <col min="11032" max="11032" width="13.875" style="572" customWidth="1"/>
    <col min="11033" max="11034" width="15.625" style="572" customWidth="1"/>
    <col min="11035" max="11267" width="9" style="572"/>
    <col min="11268" max="11268" width="8.5" style="572" customWidth="1"/>
    <col min="11269" max="11269" width="6.375" style="572" customWidth="1"/>
    <col min="11270" max="11270" width="6.625" style="572" customWidth="1"/>
    <col min="11271" max="11271" width="5.125" style="572" customWidth="1"/>
    <col min="11272" max="11272" width="6.5" style="572" customWidth="1"/>
    <col min="11273" max="11273" width="5.375" style="572" customWidth="1"/>
    <col min="11274" max="11274" width="4.625" style="572" customWidth="1"/>
    <col min="11275" max="11275" width="8.625" style="572" customWidth="1"/>
    <col min="11276" max="11276" width="19.875" style="572" customWidth="1"/>
    <col min="11277" max="11277" width="9" style="572"/>
    <col min="11278" max="11278" width="9.875" style="572" customWidth="1"/>
    <col min="11279" max="11279" width="8.875" style="572" customWidth="1"/>
    <col min="11280" max="11280" width="8.625" style="572" customWidth="1"/>
    <col min="11281" max="11281" width="8" style="572" customWidth="1"/>
    <col min="11282" max="11282" width="8.625" style="572" customWidth="1"/>
    <col min="11283" max="11283" width="9" style="572" customWidth="1"/>
    <col min="11284" max="11284" width="13.5" style="572" customWidth="1"/>
    <col min="11285" max="11285" width="16.125" style="572" bestFit="1" customWidth="1"/>
    <col min="11286" max="11286" width="13.875" style="572" bestFit="1" customWidth="1"/>
    <col min="11287" max="11287" width="7.5" style="572" bestFit="1" customWidth="1"/>
    <col min="11288" max="11288" width="13.875" style="572" customWidth="1"/>
    <col min="11289" max="11290" width="15.625" style="572" customWidth="1"/>
    <col min="11291" max="11523" width="9" style="572"/>
    <col min="11524" max="11524" width="8.5" style="572" customWidth="1"/>
    <col min="11525" max="11525" width="6.375" style="572" customWidth="1"/>
    <col min="11526" max="11526" width="6.625" style="572" customWidth="1"/>
    <col min="11527" max="11527" width="5.125" style="572" customWidth="1"/>
    <col min="11528" max="11528" width="6.5" style="572" customWidth="1"/>
    <col min="11529" max="11529" width="5.375" style="572" customWidth="1"/>
    <col min="11530" max="11530" width="4.625" style="572" customWidth="1"/>
    <col min="11531" max="11531" width="8.625" style="572" customWidth="1"/>
    <col min="11532" max="11532" width="19.875" style="572" customWidth="1"/>
    <col min="11533" max="11533" width="9" style="572"/>
    <col min="11534" max="11534" width="9.875" style="572" customWidth="1"/>
    <col min="11535" max="11535" width="8.875" style="572" customWidth="1"/>
    <col min="11536" max="11536" width="8.625" style="572" customWidth="1"/>
    <col min="11537" max="11537" width="8" style="572" customWidth="1"/>
    <col min="11538" max="11538" width="8.625" style="572" customWidth="1"/>
    <col min="11539" max="11539" width="9" style="572" customWidth="1"/>
    <col min="11540" max="11540" width="13.5" style="572" customWidth="1"/>
    <col min="11541" max="11541" width="16.125" style="572" bestFit="1" customWidth="1"/>
    <col min="11542" max="11542" width="13.875" style="572" bestFit="1" customWidth="1"/>
    <col min="11543" max="11543" width="7.5" style="572" bestFit="1" customWidth="1"/>
    <col min="11544" max="11544" width="13.875" style="572" customWidth="1"/>
    <col min="11545" max="11546" width="15.625" style="572" customWidth="1"/>
    <col min="11547" max="11779" width="9" style="572"/>
    <col min="11780" max="11780" width="8.5" style="572" customWidth="1"/>
    <col min="11781" max="11781" width="6.375" style="572" customWidth="1"/>
    <col min="11782" max="11782" width="6.625" style="572" customWidth="1"/>
    <col min="11783" max="11783" width="5.125" style="572" customWidth="1"/>
    <col min="11784" max="11784" width="6.5" style="572" customWidth="1"/>
    <col min="11785" max="11785" width="5.375" style="572" customWidth="1"/>
    <col min="11786" max="11786" width="4.625" style="572" customWidth="1"/>
    <col min="11787" max="11787" width="8.625" style="572" customWidth="1"/>
    <col min="11788" max="11788" width="19.875" style="572" customWidth="1"/>
    <col min="11789" max="11789" width="9" style="572"/>
    <col min="11790" max="11790" width="9.875" style="572" customWidth="1"/>
    <col min="11791" max="11791" width="8.875" style="572" customWidth="1"/>
    <col min="11792" max="11792" width="8.625" style="572" customWidth="1"/>
    <col min="11793" max="11793" width="8" style="572" customWidth="1"/>
    <col min="11794" max="11794" width="8.625" style="572" customWidth="1"/>
    <col min="11795" max="11795" width="9" style="572" customWidth="1"/>
    <col min="11796" max="11796" width="13.5" style="572" customWidth="1"/>
    <col min="11797" max="11797" width="16.125" style="572" bestFit="1" customWidth="1"/>
    <col min="11798" max="11798" width="13.875" style="572" bestFit="1" customWidth="1"/>
    <col min="11799" max="11799" width="7.5" style="572" bestFit="1" customWidth="1"/>
    <col min="11800" max="11800" width="13.875" style="572" customWidth="1"/>
    <col min="11801" max="11802" width="15.625" style="572" customWidth="1"/>
    <col min="11803" max="12035" width="9" style="572"/>
    <col min="12036" max="12036" width="8.5" style="572" customWidth="1"/>
    <col min="12037" max="12037" width="6.375" style="572" customWidth="1"/>
    <col min="12038" max="12038" width="6.625" style="572" customWidth="1"/>
    <col min="12039" max="12039" width="5.125" style="572" customWidth="1"/>
    <col min="12040" max="12040" width="6.5" style="572" customWidth="1"/>
    <col min="12041" max="12041" width="5.375" style="572" customWidth="1"/>
    <col min="12042" max="12042" width="4.625" style="572" customWidth="1"/>
    <col min="12043" max="12043" width="8.625" style="572" customWidth="1"/>
    <col min="12044" max="12044" width="19.875" style="572" customWidth="1"/>
    <col min="12045" max="12045" width="9" style="572"/>
    <col min="12046" max="12046" width="9.875" style="572" customWidth="1"/>
    <col min="12047" max="12047" width="8.875" style="572" customWidth="1"/>
    <col min="12048" max="12048" width="8.625" style="572" customWidth="1"/>
    <col min="12049" max="12049" width="8" style="572" customWidth="1"/>
    <col min="12050" max="12050" width="8.625" style="572" customWidth="1"/>
    <col min="12051" max="12051" width="9" style="572" customWidth="1"/>
    <col min="12052" max="12052" width="13.5" style="572" customWidth="1"/>
    <col min="12053" max="12053" width="16.125" style="572" bestFit="1" customWidth="1"/>
    <col min="12054" max="12054" width="13.875" style="572" bestFit="1" customWidth="1"/>
    <col min="12055" max="12055" width="7.5" style="572" bestFit="1" customWidth="1"/>
    <col min="12056" max="12056" width="13.875" style="572" customWidth="1"/>
    <col min="12057" max="12058" width="15.625" style="572" customWidth="1"/>
    <col min="12059" max="12291" width="9" style="572"/>
    <col min="12292" max="12292" width="8.5" style="572" customWidth="1"/>
    <col min="12293" max="12293" width="6.375" style="572" customWidth="1"/>
    <col min="12294" max="12294" width="6.625" style="572" customWidth="1"/>
    <col min="12295" max="12295" width="5.125" style="572" customWidth="1"/>
    <col min="12296" max="12296" width="6.5" style="572" customWidth="1"/>
    <col min="12297" max="12297" width="5.375" style="572" customWidth="1"/>
    <col min="12298" max="12298" width="4.625" style="572" customWidth="1"/>
    <col min="12299" max="12299" width="8.625" style="572" customWidth="1"/>
    <col min="12300" max="12300" width="19.875" style="572" customWidth="1"/>
    <col min="12301" max="12301" width="9" style="572"/>
    <col min="12302" max="12302" width="9.875" style="572" customWidth="1"/>
    <col min="12303" max="12303" width="8.875" style="572" customWidth="1"/>
    <col min="12304" max="12304" width="8.625" style="572" customWidth="1"/>
    <col min="12305" max="12305" width="8" style="572" customWidth="1"/>
    <col min="12306" max="12306" width="8.625" style="572" customWidth="1"/>
    <col min="12307" max="12307" width="9" style="572" customWidth="1"/>
    <col min="12308" max="12308" width="13.5" style="572" customWidth="1"/>
    <col min="12309" max="12309" width="16.125" style="572" bestFit="1" customWidth="1"/>
    <col min="12310" max="12310" width="13.875" style="572" bestFit="1" customWidth="1"/>
    <col min="12311" max="12311" width="7.5" style="572" bestFit="1" customWidth="1"/>
    <col min="12312" max="12312" width="13.875" style="572" customWidth="1"/>
    <col min="12313" max="12314" width="15.625" style="572" customWidth="1"/>
    <col min="12315" max="12547" width="9" style="572"/>
    <col min="12548" max="12548" width="8.5" style="572" customWidth="1"/>
    <col min="12549" max="12549" width="6.375" style="572" customWidth="1"/>
    <col min="12550" max="12550" width="6.625" style="572" customWidth="1"/>
    <col min="12551" max="12551" width="5.125" style="572" customWidth="1"/>
    <col min="12552" max="12552" width="6.5" style="572" customWidth="1"/>
    <col min="12553" max="12553" width="5.375" style="572" customWidth="1"/>
    <col min="12554" max="12554" width="4.625" style="572" customWidth="1"/>
    <col min="12555" max="12555" width="8.625" style="572" customWidth="1"/>
    <col min="12556" max="12556" width="19.875" style="572" customWidth="1"/>
    <col min="12557" max="12557" width="9" style="572"/>
    <col min="12558" max="12558" width="9.875" style="572" customWidth="1"/>
    <col min="12559" max="12559" width="8.875" style="572" customWidth="1"/>
    <col min="12560" max="12560" width="8.625" style="572" customWidth="1"/>
    <col min="12561" max="12561" width="8" style="572" customWidth="1"/>
    <col min="12562" max="12562" width="8.625" style="572" customWidth="1"/>
    <col min="12563" max="12563" width="9" style="572" customWidth="1"/>
    <col min="12564" max="12564" width="13.5" style="572" customWidth="1"/>
    <col min="12565" max="12565" width="16.125" style="572" bestFit="1" customWidth="1"/>
    <col min="12566" max="12566" width="13.875" style="572" bestFit="1" customWidth="1"/>
    <col min="12567" max="12567" width="7.5" style="572" bestFit="1" customWidth="1"/>
    <col min="12568" max="12568" width="13.875" style="572" customWidth="1"/>
    <col min="12569" max="12570" width="15.625" style="572" customWidth="1"/>
    <col min="12571" max="12803" width="9" style="572"/>
    <col min="12804" max="12804" width="8.5" style="572" customWidth="1"/>
    <col min="12805" max="12805" width="6.375" style="572" customWidth="1"/>
    <col min="12806" max="12806" width="6.625" style="572" customWidth="1"/>
    <col min="12807" max="12807" width="5.125" style="572" customWidth="1"/>
    <col min="12808" max="12808" width="6.5" style="572" customWidth="1"/>
    <col min="12809" max="12809" width="5.375" style="572" customWidth="1"/>
    <col min="12810" max="12810" width="4.625" style="572" customWidth="1"/>
    <col min="12811" max="12811" width="8.625" style="572" customWidth="1"/>
    <col min="12812" max="12812" width="19.875" style="572" customWidth="1"/>
    <col min="12813" max="12813" width="9" style="572"/>
    <col min="12814" max="12814" width="9.875" style="572" customWidth="1"/>
    <col min="12815" max="12815" width="8.875" style="572" customWidth="1"/>
    <col min="12816" max="12816" width="8.625" style="572" customWidth="1"/>
    <col min="12817" max="12817" width="8" style="572" customWidth="1"/>
    <col min="12818" max="12818" width="8.625" style="572" customWidth="1"/>
    <col min="12819" max="12819" width="9" style="572" customWidth="1"/>
    <col min="12820" max="12820" width="13.5" style="572" customWidth="1"/>
    <col min="12821" max="12821" width="16.125" style="572" bestFit="1" customWidth="1"/>
    <col min="12822" max="12822" width="13.875" style="572" bestFit="1" customWidth="1"/>
    <col min="12823" max="12823" width="7.5" style="572" bestFit="1" customWidth="1"/>
    <col min="12824" max="12824" width="13.875" style="572" customWidth="1"/>
    <col min="12825" max="12826" width="15.625" style="572" customWidth="1"/>
    <col min="12827" max="13059" width="9" style="572"/>
    <col min="13060" max="13060" width="8.5" style="572" customWidth="1"/>
    <col min="13061" max="13061" width="6.375" style="572" customWidth="1"/>
    <col min="13062" max="13062" width="6.625" style="572" customWidth="1"/>
    <col min="13063" max="13063" width="5.125" style="572" customWidth="1"/>
    <col min="13064" max="13064" width="6.5" style="572" customWidth="1"/>
    <col min="13065" max="13065" width="5.375" style="572" customWidth="1"/>
    <col min="13066" max="13066" width="4.625" style="572" customWidth="1"/>
    <col min="13067" max="13067" width="8.625" style="572" customWidth="1"/>
    <col min="13068" max="13068" width="19.875" style="572" customWidth="1"/>
    <col min="13069" max="13069" width="9" style="572"/>
    <col min="13070" max="13070" width="9.875" style="572" customWidth="1"/>
    <col min="13071" max="13071" width="8.875" style="572" customWidth="1"/>
    <col min="13072" max="13072" width="8.625" style="572" customWidth="1"/>
    <col min="13073" max="13073" width="8" style="572" customWidth="1"/>
    <col min="13074" max="13074" width="8.625" style="572" customWidth="1"/>
    <col min="13075" max="13075" width="9" style="572" customWidth="1"/>
    <col min="13076" max="13076" width="13.5" style="572" customWidth="1"/>
    <col min="13077" max="13077" width="16.125" style="572" bestFit="1" customWidth="1"/>
    <col min="13078" max="13078" width="13.875" style="572" bestFit="1" customWidth="1"/>
    <col min="13079" max="13079" width="7.5" style="572" bestFit="1" customWidth="1"/>
    <col min="13080" max="13080" width="13.875" style="572" customWidth="1"/>
    <col min="13081" max="13082" width="15.625" style="572" customWidth="1"/>
    <col min="13083" max="13315" width="9" style="572"/>
    <col min="13316" max="13316" width="8.5" style="572" customWidth="1"/>
    <col min="13317" max="13317" width="6.375" style="572" customWidth="1"/>
    <col min="13318" max="13318" width="6.625" style="572" customWidth="1"/>
    <col min="13319" max="13319" width="5.125" style="572" customWidth="1"/>
    <col min="13320" max="13320" width="6.5" style="572" customWidth="1"/>
    <col min="13321" max="13321" width="5.375" style="572" customWidth="1"/>
    <col min="13322" max="13322" width="4.625" style="572" customWidth="1"/>
    <col min="13323" max="13323" width="8.625" style="572" customWidth="1"/>
    <col min="13324" max="13324" width="19.875" style="572" customWidth="1"/>
    <col min="13325" max="13325" width="9" style="572"/>
    <col min="13326" max="13326" width="9.875" style="572" customWidth="1"/>
    <col min="13327" max="13327" width="8.875" style="572" customWidth="1"/>
    <col min="13328" max="13328" width="8.625" style="572" customWidth="1"/>
    <col min="13329" max="13329" width="8" style="572" customWidth="1"/>
    <col min="13330" max="13330" width="8.625" style="572" customWidth="1"/>
    <col min="13331" max="13331" width="9" style="572" customWidth="1"/>
    <col min="13332" max="13332" width="13.5" style="572" customWidth="1"/>
    <col min="13333" max="13333" width="16.125" style="572" bestFit="1" customWidth="1"/>
    <col min="13334" max="13334" width="13.875" style="572" bestFit="1" customWidth="1"/>
    <col min="13335" max="13335" width="7.5" style="572" bestFit="1" customWidth="1"/>
    <col min="13336" max="13336" width="13.875" style="572" customWidth="1"/>
    <col min="13337" max="13338" width="15.625" style="572" customWidth="1"/>
    <col min="13339" max="13571" width="9" style="572"/>
    <col min="13572" max="13572" width="8.5" style="572" customWidth="1"/>
    <col min="13573" max="13573" width="6.375" style="572" customWidth="1"/>
    <col min="13574" max="13574" width="6.625" style="572" customWidth="1"/>
    <col min="13575" max="13575" width="5.125" style="572" customWidth="1"/>
    <col min="13576" max="13576" width="6.5" style="572" customWidth="1"/>
    <col min="13577" max="13577" width="5.375" style="572" customWidth="1"/>
    <col min="13578" max="13578" width="4.625" style="572" customWidth="1"/>
    <col min="13579" max="13579" width="8.625" style="572" customWidth="1"/>
    <col min="13580" max="13580" width="19.875" style="572" customWidth="1"/>
    <col min="13581" max="13581" width="9" style="572"/>
    <col min="13582" max="13582" width="9.875" style="572" customWidth="1"/>
    <col min="13583" max="13583" width="8.875" style="572" customWidth="1"/>
    <col min="13584" max="13584" width="8.625" style="572" customWidth="1"/>
    <col min="13585" max="13585" width="8" style="572" customWidth="1"/>
    <col min="13586" max="13586" width="8.625" style="572" customWidth="1"/>
    <col min="13587" max="13587" width="9" style="572" customWidth="1"/>
    <col min="13588" max="13588" width="13.5" style="572" customWidth="1"/>
    <col min="13589" max="13589" width="16.125" style="572" bestFit="1" customWidth="1"/>
    <col min="13590" max="13590" width="13.875" style="572" bestFit="1" customWidth="1"/>
    <col min="13591" max="13591" width="7.5" style="572" bestFit="1" customWidth="1"/>
    <col min="13592" max="13592" width="13.875" style="572" customWidth="1"/>
    <col min="13593" max="13594" width="15.625" style="572" customWidth="1"/>
    <col min="13595" max="13827" width="9" style="572"/>
    <col min="13828" max="13828" width="8.5" style="572" customWidth="1"/>
    <col min="13829" max="13829" width="6.375" style="572" customWidth="1"/>
    <col min="13830" max="13830" width="6.625" style="572" customWidth="1"/>
    <col min="13831" max="13831" width="5.125" style="572" customWidth="1"/>
    <col min="13832" max="13832" width="6.5" style="572" customWidth="1"/>
    <col min="13833" max="13833" width="5.375" style="572" customWidth="1"/>
    <col min="13834" max="13834" width="4.625" style="572" customWidth="1"/>
    <col min="13835" max="13835" width="8.625" style="572" customWidth="1"/>
    <col min="13836" max="13836" width="19.875" style="572" customWidth="1"/>
    <col min="13837" max="13837" width="9" style="572"/>
    <col min="13838" max="13838" width="9.875" style="572" customWidth="1"/>
    <col min="13839" max="13839" width="8.875" style="572" customWidth="1"/>
    <col min="13840" max="13840" width="8.625" style="572" customWidth="1"/>
    <col min="13841" max="13841" width="8" style="572" customWidth="1"/>
    <col min="13842" max="13842" width="8.625" style="572" customWidth="1"/>
    <col min="13843" max="13843" width="9" style="572" customWidth="1"/>
    <col min="13844" max="13844" width="13.5" style="572" customWidth="1"/>
    <col min="13845" max="13845" width="16.125" style="572" bestFit="1" customWidth="1"/>
    <col min="13846" max="13846" width="13.875" style="572" bestFit="1" customWidth="1"/>
    <col min="13847" max="13847" width="7.5" style="572" bestFit="1" customWidth="1"/>
    <col min="13848" max="13848" width="13.875" style="572" customWidth="1"/>
    <col min="13849" max="13850" width="15.625" style="572" customWidth="1"/>
    <col min="13851" max="14083" width="9" style="572"/>
    <col min="14084" max="14084" width="8.5" style="572" customWidth="1"/>
    <col min="14085" max="14085" width="6.375" style="572" customWidth="1"/>
    <col min="14086" max="14086" width="6.625" style="572" customWidth="1"/>
    <col min="14087" max="14087" width="5.125" style="572" customWidth="1"/>
    <col min="14088" max="14088" width="6.5" style="572" customWidth="1"/>
    <col min="14089" max="14089" width="5.375" style="572" customWidth="1"/>
    <col min="14090" max="14090" width="4.625" style="572" customWidth="1"/>
    <col min="14091" max="14091" width="8.625" style="572" customWidth="1"/>
    <col min="14092" max="14092" width="19.875" style="572" customWidth="1"/>
    <col min="14093" max="14093" width="9" style="572"/>
    <col min="14094" max="14094" width="9.875" style="572" customWidth="1"/>
    <col min="14095" max="14095" width="8.875" style="572" customWidth="1"/>
    <col min="14096" max="14096" width="8.625" style="572" customWidth="1"/>
    <col min="14097" max="14097" width="8" style="572" customWidth="1"/>
    <col min="14098" max="14098" width="8.625" style="572" customWidth="1"/>
    <col min="14099" max="14099" width="9" style="572" customWidth="1"/>
    <col min="14100" max="14100" width="13.5" style="572" customWidth="1"/>
    <col min="14101" max="14101" width="16.125" style="572" bestFit="1" customWidth="1"/>
    <col min="14102" max="14102" width="13.875" style="572" bestFit="1" customWidth="1"/>
    <col min="14103" max="14103" width="7.5" style="572" bestFit="1" customWidth="1"/>
    <col min="14104" max="14104" width="13.875" style="572" customWidth="1"/>
    <col min="14105" max="14106" width="15.625" style="572" customWidth="1"/>
    <col min="14107" max="14339" width="9" style="572"/>
    <col min="14340" max="14340" width="8.5" style="572" customWidth="1"/>
    <col min="14341" max="14341" width="6.375" style="572" customWidth="1"/>
    <col min="14342" max="14342" width="6.625" style="572" customWidth="1"/>
    <col min="14343" max="14343" width="5.125" style="572" customWidth="1"/>
    <col min="14344" max="14344" width="6.5" style="572" customWidth="1"/>
    <col min="14345" max="14345" width="5.375" style="572" customWidth="1"/>
    <col min="14346" max="14346" width="4.625" style="572" customWidth="1"/>
    <col min="14347" max="14347" width="8.625" style="572" customWidth="1"/>
    <col min="14348" max="14348" width="19.875" style="572" customWidth="1"/>
    <col min="14349" max="14349" width="9" style="572"/>
    <col min="14350" max="14350" width="9.875" style="572" customWidth="1"/>
    <col min="14351" max="14351" width="8.875" style="572" customWidth="1"/>
    <col min="14352" max="14352" width="8.625" style="572" customWidth="1"/>
    <col min="14353" max="14353" width="8" style="572" customWidth="1"/>
    <col min="14354" max="14354" width="8.625" style="572" customWidth="1"/>
    <col min="14355" max="14355" width="9" style="572" customWidth="1"/>
    <col min="14356" max="14356" width="13.5" style="572" customWidth="1"/>
    <col min="14357" max="14357" width="16.125" style="572" bestFit="1" customWidth="1"/>
    <col min="14358" max="14358" width="13.875" style="572" bestFit="1" customWidth="1"/>
    <col min="14359" max="14359" width="7.5" style="572" bestFit="1" customWidth="1"/>
    <col min="14360" max="14360" width="13.875" style="572" customWidth="1"/>
    <col min="14361" max="14362" width="15.625" style="572" customWidth="1"/>
    <col min="14363" max="14595" width="9" style="572"/>
    <col min="14596" max="14596" width="8.5" style="572" customWidth="1"/>
    <col min="14597" max="14597" width="6.375" style="572" customWidth="1"/>
    <col min="14598" max="14598" width="6.625" style="572" customWidth="1"/>
    <col min="14599" max="14599" width="5.125" style="572" customWidth="1"/>
    <col min="14600" max="14600" width="6.5" style="572" customWidth="1"/>
    <col min="14601" max="14601" width="5.375" style="572" customWidth="1"/>
    <col min="14602" max="14602" width="4.625" style="572" customWidth="1"/>
    <col min="14603" max="14603" width="8.625" style="572" customWidth="1"/>
    <col min="14604" max="14604" width="19.875" style="572" customWidth="1"/>
    <col min="14605" max="14605" width="9" style="572"/>
    <col min="14606" max="14606" width="9.875" style="572" customWidth="1"/>
    <col min="14607" max="14607" width="8.875" style="572" customWidth="1"/>
    <col min="14608" max="14608" width="8.625" style="572" customWidth="1"/>
    <col min="14609" max="14609" width="8" style="572" customWidth="1"/>
    <col min="14610" max="14610" width="8.625" style="572" customWidth="1"/>
    <col min="14611" max="14611" width="9" style="572" customWidth="1"/>
    <col min="14612" max="14612" width="13.5" style="572" customWidth="1"/>
    <col min="14613" max="14613" width="16.125" style="572" bestFit="1" customWidth="1"/>
    <col min="14614" max="14614" width="13.875" style="572" bestFit="1" customWidth="1"/>
    <col min="14615" max="14615" width="7.5" style="572" bestFit="1" customWidth="1"/>
    <col min="14616" max="14616" width="13.875" style="572" customWidth="1"/>
    <col min="14617" max="14618" width="15.625" style="572" customWidth="1"/>
    <col min="14619" max="14851" width="9" style="572"/>
    <col min="14852" max="14852" width="8.5" style="572" customWidth="1"/>
    <col min="14853" max="14853" width="6.375" style="572" customWidth="1"/>
    <col min="14854" max="14854" width="6.625" style="572" customWidth="1"/>
    <col min="14855" max="14855" width="5.125" style="572" customWidth="1"/>
    <col min="14856" max="14856" width="6.5" style="572" customWidth="1"/>
    <col min="14857" max="14857" width="5.375" style="572" customWidth="1"/>
    <col min="14858" max="14858" width="4.625" style="572" customWidth="1"/>
    <col min="14859" max="14859" width="8.625" style="572" customWidth="1"/>
    <col min="14860" max="14860" width="19.875" style="572" customWidth="1"/>
    <col min="14861" max="14861" width="9" style="572"/>
    <col min="14862" max="14862" width="9.875" style="572" customWidth="1"/>
    <col min="14863" max="14863" width="8.875" style="572" customWidth="1"/>
    <col min="14864" max="14864" width="8.625" style="572" customWidth="1"/>
    <col min="14865" max="14865" width="8" style="572" customWidth="1"/>
    <col min="14866" max="14866" width="8.625" style="572" customWidth="1"/>
    <col min="14867" max="14867" width="9" style="572" customWidth="1"/>
    <col min="14868" max="14868" width="13.5" style="572" customWidth="1"/>
    <col min="14869" max="14869" width="16.125" style="572" bestFit="1" customWidth="1"/>
    <col min="14870" max="14870" width="13.875" style="572" bestFit="1" customWidth="1"/>
    <col min="14871" max="14871" width="7.5" style="572" bestFit="1" customWidth="1"/>
    <col min="14872" max="14872" width="13.875" style="572" customWidth="1"/>
    <col min="14873" max="14874" width="15.625" style="572" customWidth="1"/>
    <col min="14875" max="15107" width="9" style="572"/>
    <col min="15108" max="15108" width="8.5" style="572" customWidth="1"/>
    <col min="15109" max="15109" width="6.375" style="572" customWidth="1"/>
    <col min="15110" max="15110" width="6.625" style="572" customWidth="1"/>
    <col min="15111" max="15111" width="5.125" style="572" customWidth="1"/>
    <col min="15112" max="15112" width="6.5" style="572" customWidth="1"/>
    <col min="15113" max="15113" width="5.375" style="572" customWidth="1"/>
    <col min="15114" max="15114" width="4.625" style="572" customWidth="1"/>
    <col min="15115" max="15115" width="8.625" style="572" customWidth="1"/>
    <col min="15116" max="15116" width="19.875" style="572" customWidth="1"/>
    <col min="15117" max="15117" width="9" style="572"/>
    <col min="15118" max="15118" width="9.875" style="572" customWidth="1"/>
    <col min="15119" max="15119" width="8.875" style="572" customWidth="1"/>
    <col min="15120" max="15120" width="8.625" style="572" customWidth="1"/>
    <col min="15121" max="15121" width="8" style="572" customWidth="1"/>
    <col min="15122" max="15122" width="8.625" style="572" customWidth="1"/>
    <col min="15123" max="15123" width="9" style="572" customWidth="1"/>
    <col min="15124" max="15124" width="13.5" style="572" customWidth="1"/>
    <col min="15125" max="15125" width="16.125" style="572" bestFit="1" customWidth="1"/>
    <col min="15126" max="15126" width="13.875" style="572" bestFit="1" customWidth="1"/>
    <col min="15127" max="15127" width="7.5" style="572" bestFit="1" customWidth="1"/>
    <col min="15128" max="15128" width="13.875" style="572" customWidth="1"/>
    <col min="15129" max="15130" width="15.625" style="572" customWidth="1"/>
    <col min="15131" max="15363" width="9" style="572"/>
    <col min="15364" max="15364" width="8.5" style="572" customWidth="1"/>
    <col min="15365" max="15365" width="6.375" style="572" customWidth="1"/>
    <col min="15366" max="15366" width="6.625" style="572" customWidth="1"/>
    <col min="15367" max="15367" width="5.125" style="572" customWidth="1"/>
    <col min="15368" max="15368" width="6.5" style="572" customWidth="1"/>
    <col min="15369" max="15369" width="5.375" style="572" customWidth="1"/>
    <col min="15370" max="15370" width="4.625" style="572" customWidth="1"/>
    <col min="15371" max="15371" width="8.625" style="572" customWidth="1"/>
    <col min="15372" max="15372" width="19.875" style="572" customWidth="1"/>
    <col min="15373" max="15373" width="9" style="572"/>
    <col min="15374" max="15374" width="9.875" style="572" customWidth="1"/>
    <col min="15375" max="15375" width="8.875" style="572" customWidth="1"/>
    <col min="15376" max="15376" width="8.625" style="572" customWidth="1"/>
    <col min="15377" max="15377" width="8" style="572" customWidth="1"/>
    <col min="15378" max="15378" width="8.625" style="572" customWidth="1"/>
    <col min="15379" max="15379" width="9" style="572" customWidth="1"/>
    <col min="15380" max="15380" width="13.5" style="572" customWidth="1"/>
    <col min="15381" max="15381" width="16.125" style="572" bestFit="1" customWidth="1"/>
    <col min="15382" max="15382" width="13.875" style="572" bestFit="1" customWidth="1"/>
    <col min="15383" max="15383" width="7.5" style="572" bestFit="1" customWidth="1"/>
    <col min="15384" max="15384" width="13.875" style="572" customWidth="1"/>
    <col min="15385" max="15386" width="15.625" style="572" customWidth="1"/>
    <col min="15387" max="15619" width="9" style="572"/>
    <col min="15620" max="15620" width="8.5" style="572" customWidth="1"/>
    <col min="15621" max="15621" width="6.375" style="572" customWidth="1"/>
    <col min="15622" max="15622" width="6.625" style="572" customWidth="1"/>
    <col min="15623" max="15623" width="5.125" style="572" customWidth="1"/>
    <col min="15624" max="15624" width="6.5" style="572" customWidth="1"/>
    <col min="15625" max="15625" width="5.375" style="572" customWidth="1"/>
    <col min="15626" max="15626" width="4.625" style="572" customWidth="1"/>
    <col min="15627" max="15627" width="8.625" style="572" customWidth="1"/>
    <col min="15628" max="15628" width="19.875" style="572" customWidth="1"/>
    <col min="15629" max="15629" width="9" style="572"/>
    <col min="15630" max="15630" width="9.875" style="572" customWidth="1"/>
    <col min="15631" max="15631" width="8.875" style="572" customWidth="1"/>
    <col min="15632" max="15632" width="8.625" style="572" customWidth="1"/>
    <col min="15633" max="15633" width="8" style="572" customWidth="1"/>
    <col min="15634" max="15634" width="8.625" style="572" customWidth="1"/>
    <col min="15635" max="15635" width="9" style="572" customWidth="1"/>
    <col min="15636" max="15636" width="13.5" style="572" customWidth="1"/>
    <col min="15637" max="15637" width="16.125" style="572" bestFit="1" customWidth="1"/>
    <col min="15638" max="15638" width="13.875" style="572" bestFit="1" customWidth="1"/>
    <col min="15639" max="15639" width="7.5" style="572" bestFit="1" customWidth="1"/>
    <col min="15640" max="15640" width="13.875" style="572" customWidth="1"/>
    <col min="15641" max="15642" width="15.625" style="572" customWidth="1"/>
    <col min="15643" max="15875" width="9" style="572"/>
    <col min="15876" max="15876" width="8.5" style="572" customWidth="1"/>
    <col min="15877" max="15877" width="6.375" style="572" customWidth="1"/>
    <col min="15878" max="15878" width="6.625" style="572" customWidth="1"/>
    <col min="15879" max="15879" width="5.125" style="572" customWidth="1"/>
    <col min="15880" max="15880" width="6.5" style="572" customWidth="1"/>
    <col min="15881" max="15881" width="5.375" style="572" customWidth="1"/>
    <col min="15882" max="15882" width="4.625" style="572" customWidth="1"/>
    <col min="15883" max="15883" width="8.625" style="572" customWidth="1"/>
    <col min="15884" max="15884" width="19.875" style="572" customWidth="1"/>
    <col min="15885" max="15885" width="9" style="572"/>
    <col min="15886" max="15886" width="9.875" style="572" customWidth="1"/>
    <col min="15887" max="15887" width="8.875" style="572" customWidth="1"/>
    <col min="15888" max="15888" width="8.625" style="572" customWidth="1"/>
    <col min="15889" max="15889" width="8" style="572" customWidth="1"/>
    <col min="15890" max="15890" width="8.625" style="572" customWidth="1"/>
    <col min="15891" max="15891" width="9" style="572" customWidth="1"/>
    <col min="15892" max="15892" width="13.5" style="572" customWidth="1"/>
    <col min="15893" max="15893" width="16.125" style="572" bestFit="1" customWidth="1"/>
    <col min="15894" max="15894" width="13.875" style="572" bestFit="1" customWidth="1"/>
    <col min="15895" max="15895" width="7.5" style="572" bestFit="1" customWidth="1"/>
    <col min="15896" max="15896" width="13.875" style="572" customWidth="1"/>
    <col min="15897" max="15898" width="15.625" style="572" customWidth="1"/>
    <col min="15899" max="16131" width="9" style="572"/>
    <col min="16132" max="16132" width="8.5" style="572" customWidth="1"/>
    <col min="16133" max="16133" width="6.375" style="572" customWidth="1"/>
    <col min="16134" max="16134" width="6.625" style="572" customWidth="1"/>
    <col min="16135" max="16135" width="5.125" style="572" customWidth="1"/>
    <col min="16136" max="16136" width="6.5" style="572" customWidth="1"/>
    <col min="16137" max="16137" width="5.375" style="572" customWidth="1"/>
    <col min="16138" max="16138" width="4.625" style="572" customWidth="1"/>
    <col min="16139" max="16139" width="8.625" style="572" customWidth="1"/>
    <col min="16140" max="16140" width="19.875" style="572" customWidth="1"/>
    <col min="16141" max="16141" width="9" style="572"/>
    <col min="16142" max="16142" width="9.875" style="572" customWidth="1"/>
    <col min="16143" max="16143" width="8.875" style="572" customWidth="1"/>
    <col min="16144" max="16144" width="8.625" style="572" customWidth="1"/>
    <col min="16145" max="16145" width="8" style="572" customWidth="1"/>
    <col min="16146" max="16146" width="8.625" style="572" customWidth="1"/>
    <col min="16147" max="16147" width="9" style="572" customWidth="1"/>
    <col min="16148" max="16148" width="13.5" style="572" customWidth="1"/>
    <col min="16149" max="16149" width="16.125" style="572" bestFit="1" customWidth="1"/>
    <col min="16150" max="16150" width="13.875" style="572" bestFit="1" customWidth="1"/>
    <col min="16151" max="16151" width="7.5" style="572" bestFit="1" customWidth="1"/>
    <col min="16152" max="16152" width="13.875" style="572" customWidth="1"/>
    <col min="16153" max="16154" width="15.625" style="572" customWidth="1"/>
    <col min="16155" max="16384" width="9" style="572"/>
  </cols>
  <sheetData>
    <row r="1" spans="1:32" ht="21">
      <c r="A1" s="757" t="s">
        <v>1241</v>
      </c>
      <c r="B1" s="757"/>
      <c r="C1" s="757"/>
      <c r="D1" s="757"/>
      <c r="E1" s="757"/>
      <c r="F1" s="757"/>
      <c r="G1" s="757"/>
      <c r="H1" s="757"/>
      <c r="I1" s="757"/>
      <c r="J1" s="757"/>
      <c r="K1" s="757"/>
      <c r="L1" s="757"/>
      <c r="M1" s="758"/>
      <c r="T1" s="574"/>
      <c r="U1" s="574"/>
      <c r="V1" s="574"/>
      <c r="W1" s="574"/>
    </row>
    <row r="2" spans="1:32">
      <c r="A2" s="570" t="s">
        <v>481</v>
      </c>
      <c r="B2" s="570">
        <f>[6]下料单!$C$2</f>
        <v>0</v>
      </c>
      <c r="C2" s="570" t="s">
        <v>1242</v>
      </c>
      <c r="D2" s="570">
        <f>[6]下料单!$W$2</f>
        <v>0</v>
      </c>
      <c r="E2" s="570"/>
      <c r="F2" s="570" t="s">
        <v>1245</v>
      </c>
      <c r="G2" s="570" t="s">
        <v>1246</v>
      </c>
      <c r="H2" s="570"/>
      <c r="I2" s="570"/>
      <c r="J2" s="570" t="s">
        <v>1243</v>
      </c>
      <c r="K2" s="570">
        <f>[6]下料单!$H$2</f>
        <v>0</v>
      </c>
      <c r="L2" s="570" t="s">
        <v>455</v>
      </c>
      <c r="M2" s="570">
        <f>[6]下料单!$R$2</f>
        <v>0</v>
      </c>
      <c r="T2" s="574"/>
      <c r="V2" s="574"/>
      <c r="W2" s="574"/>
    </row>
    <row r="3" spans="1:32">
      <c r="A3" s="570" t="s">
        <v>1225</v>
      </c>
      <c r="B3" s="603" t="s">
        <v>1232</v>
      </c>
      <c r="C3" s="604"/>
      <c r="D3" s="605"/>
      <c r="E3" s="605"/>
      <c r="F3" s="605" t="s">
        <v>1248</v>
      </c>
      <c r="G3" s="606" t="str">
        <f>X22</f>
        <v>香草天空Ⅱ</v>
      </c>
      <c r="H3" s="605" t="s">
        <v>1244</v>
      </c>
      <c r="I3" s="607">
        <f>R51</f>
        <v>2</v>
      </c>
      <c r="J3" s="604" t="s">
        <v>1247</v>
      </c>
      <c r="K3" s="667">
        <f>[6]下料单!$AB$2</f>
        <v>0</v>
      </c>
      <c r="L3" s="605" t="s">
        <v>456</v>
      </c>
      <c r="M3" s="605">
        <f>[6]下料单!$AG$2</f>
        <v>0</v>
      </c>
      <c r="V3" s="574"/>
      <c r="W3" s="574"/>
    </row>
    <row r="4" spans="1:32">
      <c r="A4" s="633" t="s">
        <v>1250</v>
      </c>
      <c r="B4" s="633" t="s">
        <v>1249</v>
      </c>
      <c r="C4" s="649"/>
      <c r="D4" s="612"/>
      <c r="E4" s="612"/>
      <c r="F4" s="612"/>
      <c r="G4" s="612"/>
      <c r="H4" s="612"/>
      <c r="I4" s="612"/>
      <c r="J4" s="612"/>
      <c r="K4" s="612"/>
      <c r="L4" s="650"/>
      <c r="M4" s="651"/>
      <c r="N4" s="574"/>
      <c r="P4" s="574"/>
      <c r="Q4" s="574"/>
      <c r="V4" s="574"/>
      <c r="W4" s="574"/>
      <c r="X4" s="625"/>
      <c r="Y4" s="626"/>
      <c r="Z4" s="627" t="s">
        <v>1267</v>
      </c>
      <c r="AA4" s="625"/>
      <c r="AB4" s="625"/>
      <c r="AC4" s="625"/>
      <c r="AD4" s="625"/>
      <c r="AE4" s="659" t="s">
        <v>1268</v>
      </c>
      <c r="AF4" s="626"/>
    </row>
    <row r="5" spans="1:32" ht="28.5">
      <c r="A5" s="570" t="s">
        <v>458</v>
      </c>
      <c r="B5" s="608"/>
      <c r="C5" s="609" t="s">
        <v>1257</v>
      </c>
      <c r="D5" s="609"/>
      <c r="E5" s="608"/>
      <c r="F5" s="609"/>
      <c r="G5" s="609" t="s">
        <v>459</v>
      </c>
      <c r="H5" s="609"/>
      <c r="I5" s="610"/>
      <c r="J5" s="569" t="s">
        <v>1256</v>
      </c>
      <c r="K5" s="611" t="str">
        <f>"18A"&amp;VLOOKUP(吸塑门板单!B4,吸塑门板单!X:AD,2,0)</f>
        <v>18A米黄麻单贴三聚氰胺E1级镂铣中密度板18*1220*2440</v>
      </c>
      <c r="L5" s="657"/>
      <c r="M5" s="657"/>
      <c r="N5" s="574"/>
      <c r="O5" s="574"/>
      <c r="P5" s="574"/>
      <c r="Q5" s="574"/>
      <c r="R5" s="574"/>
      <c r="S5" s="574"/>
      <c r="T5" s="574"/>
      <c r="U5" s="574"/>
      <c r="V5" s="574"/>
      <c r="W5" s="574"/>
      <c r="X5" s="628" t="s">
        <v>1269</v>
      </c>
      <c r="Y5" s="629" t="s">
        <v>1270</v>
      </c>
      <c r="Z5" s="630">
        <v>1</v>
      </c>
      <c r="AA5" s="663" t="s">
        <v>1299</v>
      </c>
      <c r="AB5" s="628" t="s">
        <v>1271</v>
      </c>
      <c r="AC5" s="631" t="s">
        <v>1309</v>
      </c>
      <c r="AD5" s="631" t="s">
        <v>1292</v>
      </c>
      <c r="AE5" s="659" t="s">
        <v>1272</v>
      </c>
      <c r="AF5" s="629" t="s">
        <v>1273</v>
      </c>
    </row>
    <row r="6" spans="1:32" ht="28.5">
      <c r="A6" s="570" t="s">
        <v>460</v>
      </c>
      <c r="B6" s="570" t="s">
        <v>461</v>
      </c>
      <c r="C6" s="570" t="s">
        <v>462</v>
      </c>
      <c r="D6" s="570" t="s">
        <v>463</v>
      </c>
      <c r="E6" s="613" t="s">
        <v>1254</v>
      </c>
      <c r="F6" s="613" t="s">
        <v>1255</v>
      </c>
      <c r="G6" s="613" t="s">
        <v>464</v>
      </c>
      <c r="H6" s="613" t="s">
        <v>462</v>
      </c>
      <c r="I6" s="613" t="s">
        <v>463</v>
      </c>
      <c r="J6" s="602" t="s">
        <v>1252</v>
      </c>
      <c r="K6" s="570" t="s">
        <v>1253</v>
      </c>
      <c r="L6" s="595"/>
      <c r="M6" s="595"/>
      <c r="N6" s="596" t="s">
        <v>1210</v>
      </c>
      <c r="O6" s="570" t="s">
        <v>1211</v>
      </c>
      <c r="P6" s="570" t="s">
        <v>1212</v>
      </c>
      <c r="Q6" s="570" t="s">
        <v>1213</v>
      </c>
      <c r="R6" s="574"/>
      <c r="S6" s="569" t="s">
        <v>465</v>
      </c>
      <c r="T6" s="569" t="s">
        <v>466</v>
      </c>
      <c r="U6" s="569" t="s">
        <v>467</v>
      </c>
      <c r="V6" s="569" t="s">
        <v>468</v>
      </c>
      <c r="W6" s="624" t="s">
        <v>968</v>
      </c>
      <c r="X6" s="628" t="s">
        <v>1274</v>
      </c>
      <c r="Y6" s="629" t="s">
        <v>1275</v>
      </c>
      <c r="Z6" s="630">
        <v>1</v>
      </c>
      <c r="AA6" s="663" t="s">
        <v>1300</v>
      </c>
      <c r="AB6" s="628" t="s">
        <v>457</v>
      </c>
      <c r="AC6" s="631" t="s">
        <v>1311</v>
      </c>
      <c r="AD6" s="631" t="s">
        <v>1293</v>
      </c>
      <c r="AE6" s="659" t="s">
        <v>1272</v>
      </c>
      <c r="AF6" s="629" t="s">
        <v>1276</v>
      </c>
    </row>
    <row r="7" spans="1:32" ht="28.5">
      <c r="A7" s="652" t="s">
        <v>1138</v>
      </c>
      <c r="B7" s="653"/>
      <c r="C7" s="653"/>
      <c r="D7" s="654"/>
      <c r="E7" s="654"/>
      <c r="F7" s="654"/>
      <c r="G7" s="654">
        <f>+B7+2</f>
        <v>2</v>
      </c>
      <c r="H7" s="654">
        <f>+C7+2</f>
        <v>2</v>
      </c>
      <c r="I7" s="654">
        <f t="shared" ref="G7:I9" si="0">+D7</f>
        <v>0</v>
      </c>
      <c r="J7" s="655" t="s">
        <v>1139</v>
      </c>
      <c r="K7" s="656"/>
      <c r="L7" s="656"/>
      <c r="M7" s="656"/>
      <c r="N7" s="574">
        <f t="shared" ref="N7:N50" si="1">B7*C7*D7/1000000</f>
        <v>0</v>
      </c>
      <c r="O7" s="574">
        <f>(B7+18*2+170)*(C7+18*2+170)*D7/1000000</f>
        <v>0</v>
      </c>
      <c r="P7" s="574">
        <f t="shared" ref="P7:P50" si="2">IF(K7="半成品","0",B7*C7*D7/1000000/1.22/2.44/0.85)</f>
        <v>0</v>
      </c>
      <c r="Q7" s="574">
        <f t="shared" ref="Q7:Q9" si="3">(B7+C7)*2*I7/1000/0.8</f>
        <v>0</v>
      </c>
      <c r="R7" s="574">
        <f>I7</f>
        <v>0</v>
      </c>
      <c r="S7" s="574">
        <f>(B7+18*2)*(C7+18*2)*D7/1000000</f>
        <v>0</v>
      </c>
      <c r="T7" s="574"/>
      <c r="U7" s="574"/>
      <c r="V7" s="574"/>
      <c r="W7" s="574"/>
      <c r="X7" s="628" t="s">
        <v>1277</v>
      </c>
      <c r="Y7" s="629" t="s">
        <v>1278</v>
      </c>
      <c r="Z7" s="630">
        <v>0.95</v>
      </c>
      <c r="AA7" s="663" t="s">
        <v>1301</v>
      </c>
      <c r="AB7" s="628" t="s">
        <v>1296</v>
      </c>
      <c r="AC7" s="631" t="s">
        <v>1312</v>
      </c>
      <c r="AD7" s="631" t="s">
        <v>1294</v>
      </c>
      <c r="AE7" s="659" t="s">
        <v>1272</v>
      </c>
      <c r="AF7" s="629" t="s">
        <v>1279</v>
      </c>
    </row>
    <row r="8" spans="1:32" ht="33">
      <c r="A8" s="668" t="s">
        <v>1238</v>
      </c>
      <c r="B8" s="635"/>
      <c r="C8" s="635"/>
      <c r="D8" s="635"/>
      <c r="E8" s="635"/>
      <c r="F8" s="635"/>
      <c r="G8" s="635">
        <f t="shared" si="0"/>
        <v>0</v>
      </c>
      <c r="H8" s="635">
        <f t="shared" si="0"/>
        <v>0</v>
      </c>
      <c r="I8" s="635">
        <f t="shared" si="0"/>
        <v>0</v>
      </c>
      <c r="J8" s="636" t="s">
        <v>1140</v>
      </c>
      <c r="K8" s="637"/>
      <c r="L8" s="637"/>
      <c r="M8" s="637"/>
      <c r="N8" s="574">
        <f t="shared" si="1"/>
        <v>0</v>
      </c>
      <c r="O8" s="574">
        <f t="shared" ref="O8:O9" si="4">(B8+18*2+170)*(C8+18*2+170)*D8/1000000</f>
        <v>0</v>
      </c>
      <c r="P8" s="574">
        <f t="shared" si="2"/>
        <v>0</v>
      </c>
      <c r="Q8" s="574">
        <f t="shared" si="3"/>
        <v>0</v>
      </c>
      <c r="R8" s="574">
        <f t="shared" ref="R8:R50" si="5">I8</f>
        <v>0</v>
      </c>
      <c r="S8" s="574">
        <f t="shared" ref="S8:S39" si="6">(B8+18*2)*(C8+18*2)*D8/1000000</f>
        <v>0</v>
      </c>
      <c r="T8" s="574"/>
      <c r="U8" s="574"/>
      <c r="V8" s="574"/>
      <c r="W8" s="574"/>
      <c r="X8" s="628" t="s">
        <v>1280</v>
      </c>
      <c r="Y8" s="632" t="s">
        <v>1281</v>
      </c>
      <c r="Z8" s="630">
        <v>0.95</v>
      </c>
      <c r="AA8" s="663" t="s">
        <v>1302</v>
      </c>
      <c r="AB8" s="628" t="s">
        <v>457</v>
      </c>
      <c r="AC8" s="631" t="s">
        <v>1310</v>
      </c>
      <c r="AD8" s="631" t="s">
        <v>1295</v>
      </c>
      <c r="AE8" s="659" t="s">
        <v>1282</v>
      </c>
      <c r="AF8" s="629" t="s">
        <v>1276</v>
      </c>
    </row>
    <row r="9" spans="1:32" ht="28.5">
      <c r="A9" s="634" t="s">
        <v>1240</v>
      </c>
      <c r="B9" s="635"/>
      <c r="C9" s="635"/>
      <c r="D9" s="635"/>
      <c r="E9" s="635"/>
      <c r="F9" s="635"/>
      <c r="G9" s="635">
        <f t="shared" si="0"/>
        <v>0</v>
      </c>
      <c r="H9" s="635">
        <f t="shared" si="0"/>
        <v>0</v>
      </c>
      <c r="I9" s="635">
        <f t="shared" si="0"/>
        <v>0</v>
      </c>
      <c r="J9" s="636"/>
      <c r="K9" s="636"/>
      <c r="L9" s="638"/>
      <c r="M9" s="638"/>
      <c r="N9" s="574">
        <f t="shared" si="1"/>
        <v>0</v>
      </c>
      <c r="O9" s="574">
        <f t="shared" si="4"/>
        <v>0</v>
      </c>
      <c r="P9" s="574">
        <f t="shared" si="2"/>
        <v>0</v>
      </c>
      <c r="Q9" s="574">
        <f t="shared" si="3"/>
        <v>0</v>
      </c>
      <c r="R9" s="574">
        <f t="shared" si="5"/>
        <v>0</v>
      </c>
      <c r="S9" s="574">
        <f t="shared" si="6"/>
        <v>0</v>
      </c>
      <c r="T9" s="574"/>
      <c r="U9" s="574"/>
      <c r="V9" s="574"/>
      <c r="W9" s="574"/>
      <c r="X9" s="628" t="s">
        <v>1283</v>
      </c>
      <c r="Y9" s="632" t="s">
        <v>1284</v>
      </c>
      <c r="Z9" s="630">
        <v>0.95</v>
      </c>
      <c r="AA9" s="663" t="s">
        <v>1303</v>
      </c>
      <c r="AB9" s="628" t="s">
        <v>457</v>
      </c>
      <c r="AC9" s="631" t="s">
        <v>1310</v>
      </c>
      <c r="AD9" s="631" t="s">
        <v>1295</v>
      </c>
      <c r="AE9" s="659" t="s">
        <v>1285</v>
      </c>
      <c r="AF9" s="629" t="s">
        <v>1286</v>
      </c>
    </row>
    <row r="10" spans="1:32" ht="28.5">
      <c r="A10" s="639"/>
      <c r="B10" s="640"/>
      <c r="C10" s="640"/>
      <c r="D10" s="640"/>
      <c r="E10" s="640"/>
      <c r="F10" s="640"/>
      <c r="G10" s="640" t="str">
        <f t="shared" ref="G10:G28" si="7">IF(B10&gt;0,IF(J10="平板无刀型",B10,B10+$Z$22),"")</f>
        <v/>
      </c>
      <c r="H10" s="640" t="str">
        <f t="shared" ref="H10:H28" si="8">IF(C10&gt;0,IF(J10="平板无刀型",C10,C10+$Z$24),"")</f>
        <v/>
      </c>
      <c r="I10" s="640" t="str">
        <f t="shared" ref="I10:I39" si="9">+IF(D10&gt;0,D10,"")</f>
        <v/>
      </c>
      <c r="J10" s="641"/>
      <c r="K10" s="641"/>
      <c r="L10" s="640"/>
      <c r="M10" s="640"/>
      <c r="N10" s="574">
        <f t="shared" si="1"/>
        <v>0</v>
      </c>
      <c r="O10" s="574">
        <f>(B10+36*2+170)*(C10+36*2+170)*D10/1000000</f>
        <v>0</v>
      </c>
      <c r="P10" s="574">
        <f t="shared" si="2"/>
        <v>0</v>
      </c>
      <c r="Q10" s="574"/>
      <c r="R10" s="574" t="str">
        <f t="shared" si="5"/>
        <v/>
      </c>
      <c r="S10" s="574">
        <f t="shared" si="6"/>
        <v>0</v>
      </c>
      <c r="T10" s="574"/>
      <c r="U10" s="574"/>
      <c r="V10" s="574"/>
      <c r="W10" s="574">
        <f t="shared" ref="W10:W28" si="10">IF($B$3="通长铝拉手",B10*D10/0.9/1000,0)</f>
        <v>0</v>
      </c>
      <c r="X10" s="628" t="s">
        <v>1287</v>
      </c>
      <c r="Y10" s="632" t="s">
        <v>1284</v>
      </c>
      <c r="Z10" s="630">
        <v>0.95</v>
      </c>
      <c r="AA10" s="663" t="s">
        <v>1304</v>
      </c>
      <c r="AB10" s="628" t="s">
        <v>457</v>
      </c>
      <c r="AC10" s="631" t="s">
        <v>1310</v>
      </c>
      <c r="AD10" s="631" t="s">
        <v>1295</v>
      </c>
      <c r="AE10" s="659" t="s">
        <v>1285</v>
      </c>
      <c r="AF10" s="629" t="s">
        <v>1286</v>
      </c>
    </row>
    <row r="11" spans="1:32" ht="28.5">
      <c r="A11" s="639"/>
      <c r="B11" s="640"/>
      <c r="C11" s="640"/>
      <c r="D11" s="640"/>
      <c r="E11" s="640"/>
      <c r="F11" s="640"/>
      <c r="G11" s="640" t="str">
        <f t="shared" si="7"/>
        <v/>
      </c>
      <c r="H11" s="640" t="str">
        <f t="shared" si="8"/>
        <v/>
      </c>
      <c r="I11" s="640" t="str">
        <f t="shared" si="9"/>
        <v/>
      </c>
      <c r="J11" s="641"/>
      <c r="K11" s="641"/>
      <c r="L11" s="640"/>
      <c r="M11" s="640"/>
      <c r="N11" s="574">
        <f t="shared" si="1"/>
        <v>0</v>
      </c>
      <c r="O11" s="574">
        <f t="shared" ref="O11:O50" si="11">(B11+36*2+170)*(C11+36*2+170)*D11/1000000</f>
        <v>0</v>
      </c>
      <c r="P11" s="574">
        <f t="shared" si="2"/>
        <v>0</v>
      </c>
      <c r="Q11" s="574"/>
      <c r="R11" s="574" t="str">
        <f t="shared" si="5"/>
        <v/>
      </c>
      <c r="S11" s="574">
        <f t="shared" si="6"/>
        <v>0</v>
      </c>
      <c r="T11" s="574"/>
      <c r="U11" s="574"/>
      <c r="V11" s="574"/>
      <c r="W11" s="574">
        <f t="shared" si="10"/>
        <v>0</v>
      </c>
      <c r="X11" s="628" t="s">
        <v>1288</v>
      </c>
      <c r="Y11" s="632" t="s">
        <v>1284</v>
      </c>
      <c r="Z11" s="630">
        <v>0.95</v>
      </c>
      <c r="AA11" s="663" t="s">
        <v>1305</v>
      </c>
      <c r="AB11" s="628" t="s">
        <v>457</v>
      </c>
      <c r="AC11" s="631" t="s">
        <v>1310</v>
      </c>
      <c r="AD11" s="631" t="s">
        <v>1295</v>
      </c>
      <c r="AE11" s="659" t="s">
        <v>1285</v>
      </c>
      <c r="AF11" s="629" t="s">
        <v>1286</v>
      </c>
    </row>
    <row r="12" spans="1:32" ht="28.5">
      <c r="A12" s="639"/>
      <c r="B12" s="640"/>
      <c r="C12" s="640"/>
      <c r="D12" s="640"/>
      <c r="E12" s="640"/>
      <c r="F12" s="640"/>
      <c r="G12" s="640" t="str">
        <f t="shared" si="7"/>
        <v/>
      </c>
      <c r="H12" s="640" t="str">
        <f t="shared" si="8"/>
        <v/>
      </c>
      <c r="I12" s="640" t="str">
        <f t="shared" si="9"/>
        <v/>
      </c>
      <c r="J12" s="641"/>
      <c r="K12" s="641"/>
      <c r="L12" s="640"/>
      <c r="M12" s="640"/>
      <c r="N12" s="574">
        <f t="shared" si="1"/>
        <v>0</v>
      </c>
      <c r="O12" s="574">
        <f t="shared" si="11"/>
        <v>0</v>
      </c>
      <c r="P12" s="574">
        <f t="shared" si="2"/>
        <v>0</v>
      </c>
      <c r="Q12" s="574"/>
      <c r="R12" s="574" t="str">
        <f t="shared" si="5"/>
        <v/>
      </c>
      <c r="S12" s="574">
        <f t="shared" si="6"/>
        <v>0</v>
      </c>
      <c r="T12" s="574"/>
      <c r="U12" s="574"/>
      <c r="V12" s="574"/>
      <c r="W12" s="574">
        <f t="shared" si="10"/>
        <v>0</v>
      </c>
      <c r="X12" s="628" t="s">
        <v>1289</v>
      </c>
      <c r="Y12" s="632" t="s">
        <v>1284</v>
      </c>
      <c r="Z12" s="630">
        <v>0.95</v>
      </c>
      <c r="AA12" s="663" t="s">
        <v>1306</v>
      </c>
      <c r="AB12" s="628" t="s">
        <v>457</v>
      </c>
      <c r="AC12" s="631" t="s">
        <v>1310</v>
      </c>
      <c r="AD12" s="631" t="s">
        <v>1295</v>
      </c>
      <c r="AE12" s="659" t="s">
        <v>1285</v>
      </c>
      <c r="AF12" s="629" t="s">
        <v>1286</v>
      </c>
    </row>
    <row r="13" spans="1:32" ht="28.5">
      <c r="A13" s="639"/>
      <c r="B13" s="640"/>
      <c r="C13" s="640"/>
      <c r="D13" s="640"/>
      <c r="E13" s="640"/>
      <c r="F13" s="640"/>
      <c r="G13" s="640" t="str">
        <f t="shared" si="7"/>
        <v/>
      </c>
      <c r="H13" s="640" t="str">
        <f t="shared" si="8"/>
        <v/>
      </c>
      <c r="I13" s="640" t="str">
        <f t="shared" si="9"/>
        <v/>
      </c>
      <c r="J13" s="641"/>
      <c r="K13" s="641"/>
      <c r="L13" s="640"/>
      <c r="M13" s="640"/>
      <c r="N13" s="574">
        <f t="shared" si="1"/>
        <v>0</v>
      </c>
      <c r="O13" s="574">
        <f t="shared" si="11"/>
        <v>0</v>
      </c>
      <c r="P13" s="574">
        <f t="shared" si="2"/>
        <v>0</v>
      </c>
      <c r="Q13" s="574"/>
      <c r="R13" s="574" t="str">
        <f t="shared" si="5"/>
        <v/>
      </c>
      <c r="S13" s="574">
        <f t="shared" si="6"/>
        <v>0</v>
      </c>
      <c r="T13" s="574"/>
      <c r="U13" s="574"/>
      <c r="V13" s="574"/>
      <c r="W13" s="574">
        <f t="shared" si="10"/>
        <v>0</v>
      </c>
      <c r="X13" s="628" t="s">
        <v>1290</v>
      </c>
      <c r="Y13" s="632" t="s">
        <v>1284</v>
      </c>
      <c r="Z13" s="630">
        <v>0.95</v>
      </c>
      <c r="AA13" s="663" t="s">
        <v>1307</v>
      </c>
      <c r="AB13" s="631" t="s">
        <v>457</v>
      </c>
      <c r="AC13" s="631" t="s">
        <v>1310</v>
      </c>
      <c r="AD13" s="631" t="s">
        <v>1295</v>
      </c>
      <c r="AE13" s="659" t="s">
        <v>1285</v>
      </c>
      <c r="AF13" s="629" t="s">
        <v>1286</v>
      </c>
    </row>
    <row r="14" spans="1:32">
      <c r="A14" s="639"/>
      <c r="B14" s="640"/>
      <c r="C14" s="640"/>
      <c r="D14" s="640"/>
      <c r="E14" s="640"/>
      <c r="F14" s="640"/>
      <c r="G14" s="640" t="str">
        <f t="shared" si="7"/>
        <v/>
      </c>
      <c r="H14" s="640" t="str">
        <f t="shared" si="8"/>
        <v/>
      </c>
      <c r="I14" s="640" t="str">
        <f t="shared" si="9"/>
        <v/>
      </c>
      <c r="J14" s="641"/>
      <c r="K14" s="641"/>
      <c r="L14" s="640"/>
      <c r="M14" s="640"/>
      <c r="N14" s="574">
        <f t="shared" si="1"/>
        <v>0</v>
      </c>
      <c r="O14" s="574">
        <f t="shared" si="11"/>
        <v>0</v>
      </c>
      <c r="P14" s="574">
        <f t="shared" si="2"/>
        <v>0</v>
      </c>
      <c r="Q14" s="574"/>
      <c r="R14" s="574" t="str">
        <f t="shared" si="5"/>
        <v/>
      </c>
      <c r="S14" s="574">
        <f t="shared" si="6"/>
        <v>0</v>
      </c>
      <c r="T14" s="574"/>
      <c r="U14" s="574"/>
      <c r="V14" s="574"/>
      <c r="W14" s="574">
        <f t="shared" si="10"/>
        <v>0</v>
      </c>
      <c r="X14" s="574"/>
      <c r="Y14" s="575"/>
      <c r="AA14" s="574"/>
    </row>
    <row r="15" spans="1:32">
      <c r="A15" s="639"/>
      <c r="B15" s="640"/>
      <c r="C15" s="640"/>
      <c r="D15" s="640"/>
      <c r="E15" s="640"/>
      <c r="F15" s="640"/>
      <c r="G15" s="640" t="str">
        <f t="shared" si="7"/>
        <v/>
      </c>
      <c r="H15" s="640" t="str">
        <f t="shared" si="8"/>
        <v/>
      </c>
      <c r="I15" s="640" t="str">
        <f>+IF(D15&gt;0,D15,"")</f>
        <v/>
      </c>
      <c r="J15" s="641"/>
      <c r="K15" s="641"/>
      <c r="L15" s="640"/>
      <c r="M15" s="640"/>
      <c r="N15" s="574">
        <f t="shared" si="1"/>
        <v>0</v>
      </c>
      <c r="O15" s="574">
        <f t="shared" si="11"/>
        <v>0</v>
      </c>
      <c r="P15" s="574">
        <f t="shared" si="2"/>
        <v>0</v>
      </c>
      <c r="Q15" s="574"/>
      <c r="R15" s="574" t="str">
        <f t="shared" si="5"/>
        <v/>
      </c>
      <c r="S15" s="574">
        <f t="shared" si="6"/>
        <v>0</v>
      </c>
      <c r="T15" s="574"/>
      <c r="U15" s="574"/>
      <c r="V15" s="574"/>
      <c r="W15" s="574">
        <f t="shared" si="10"/>
        <v>0</v>
      </c>
      <c r="X15" s="574"/>
      <c r="Y15" s="575"/>
      <c r="AA15" s="574"/>
    </row>
    <row r="16" spans="1:32">
      <c r="A16" s="639"/>
      <c r="B16" s="640"/>
      <c r="C16" s="640"/>
      <c r="D16" s="640"/>
      <c r="E16" s="640"/>
      <c r="F16" s="640"/>
      <c r="G16" s="640" t="str">
        <f t="shared" si="7"/>
        <v/>
      </c>
      <c r="H16" s="640" t="str">
        <f t="shared" si="8"/>
        <v/>
      </c>
      <c r="I16" s="640" t="str">
        <f t="shared" si="9"/>
        <v/>
      </c>
      <c r="J16" s="641"/>
      <c r="K16" s="641"/>
      <c r="L16" s="640"/>
      <c r="M16" s="640"/>
      <c r="N16" s="574">
        <f t="shared" si="1"/>
        <v>0</v>
      </c>
      <c r="O16" s="574">
        <f t="shared" si="11"/>
        <v>0</v>
      </c>
      <c r="P16" s="574">
        <f t="shared" si="2"/>
        <v>0</v>
      </c>
      <c r="Q16" s="574"/>
      <c r="R16" s="574" t="str">
        <f t="shared" si="5"/>
        <v/>
      </c>
      <c r="S16" s="574">
        <f t="shared" si="6"/>
        <v>0</v>
      </c>
      <c r="T16" s="574"/>
      <c r="U16" s="574"/>
      <c r="V16" s="574"/>
      <c r="W16" s="574">
        <f t="shared" si="10"/>
        <v>0</v>
      </c>
      <c r="X16" s="574"/>
      <c r="Y16" s="575"/>
      <c r="AA16" s="574"/>
    </row>
    <row r="17" spans="1:29">
      <c r="A17" s="639"/>
      <c r="B17" s="640"/>
      <c r="C17" s="640"/>
      <c r="D17" s="640"/>
      <c r="E17" s="640"/>
      <c r="F17" s="640"/>
      <c r="G17" s="640" t="str">
        <f t="shared" si="7"/>
        <v/>
      </c>
      <c r="H17" s="640" t="str">
        <f t="shared" si="8"/>
        <v/>
      </c>
      <c r="I17" s="640" t="str">
        <f t="shared" si="9"/>
        <v/>
      </c>
      <c r="J17" s="641"/>
      <c r="K17" s="641"/>
      <c r="L17" s="640"/>
      <c r="M17" s="640"/>
      <c r="N17" s="574">
        <f t="shared" si="1"/>
        <v>0</v>
      </c>
      <c r="O17" s="574">
        <f t="shared" si="11"/>
        <v>0</v>
      </c>
      <c r="P17" s="574">
        <f t="shared" si="2"/>
        <v>0</v>
      </c>
      <c r="Q17" s="574"/>
      <c r="R17" s="574" t="str">
        <f t="shared" si="5"/>
        <v/>
      </c>
      <c r="S17" s="574">
        <f t="shared" si="6"/>
        <v>0</v>
      </c>
      <c r="T17" s="574"/>
      <c r="U17" s="574"/>
      <c r="V17" s="574"/>
      <c r="W17" s="574">
        <f t="shared" si="10"/>
        <v>0</v>
      </c>
      <c r="X17" s="574"/>
      <c r="Y17" s="575"/>
      <c r="AA17" s="574"/>
    </row>
    <row r="18" spans="1:29">
      <c r="A18" s="639"/>
      <c r="B18" s="640"/>
      <c r="C18" s="640"/>
      <c r="D18" s="640"/>
      <c r="E18" s="640"/>
      <c r="F18" s="640"/>
      <c r="G18" s="640" t="str">
        <f t="shared" si="7"/>
        <v/>
      </c>
      <c r="H18" s="640" t="str">
        <f t="shared" si="8"/>
        <v/>
      </c>
      <c r="I18" s="640" t="str">
        <f t="shared" si="9"/>
        <v/>
      </c>
      <c r="J18" s="641"/>
      <c r="K18" s="641"/>
      <c r="L18" s="640"/>
      <c r="M18" s="640"/>
      <c r="N18" s="574">
        <f t="shared" si="1"/>
        <v>0</v>
      </c>
      <c r="O18" s="574">
        <f t="shared" si="11"/>
        <v>0</v>
      </c>
      <c r="P18" s="574">
        <f t="shared" si="2"/>
        <v>0</v>
      </c>
      <c r="Q18" s="574"/>
      <c r="R18" s="574" t="str">
        <f t="shared" si="5"/>
        <v/>
      </c>
      <c r="S18" s="574">
        <f t="shared" si="6"/>
        <v>0</v>
      </c>
      <c r="T18" s="574"/>
      <c r="U18" s="574"/>
      <c r="V18" s="574"/>
      <c r="W18" s="574">
        <f t="shared" si="10"/>
        <v>0</v>
      </c>
      <c r="X18" s="574"/>
      <c r="Y18" s="576"/>
      <c r="AA18" s="574"/>
    </row>
    <row r="19" spans="1:29">
      <c r="A19" s="639"/>
      <c r="B19" s="640"/>
      <c r="C19" s="640"/>
      <c r="D19" s="640"/>
      <c r="E19" s="640"/>
      <c r="F19" s="640"/>
      <c r="G19" s="640" t="str">
        <f t="shared" si="7"/>
        <v/>
      </c>
      <c r="H19" s="640" t="str">
        <f t="shared" si="8"/>
        <v/>
      </c>
      <c r="I19" s="640" t="str">
        <f t="shared" si="9"/>
        <v/>
      </c>
      <c r="J19" s="641"/>
      <c r="K19" s="641"/>
      <c r="L19" s="640"/>
      <c r="M19" s="640"/>
      <c r="N19" s="574">
        <f t="shared" si="1"/>
        <v>0</v>
      </c>
      <c r="O19" s="574">
        <f t="shared" si="11"/>
        <v>0</v>
      </c>
      <c r="P19" s="574">
        <f t="shared" si="2"/>
        <v>0</v>
      </c>
      <c r="Q19" s="574"/>
      <c r="R19" s="574" t="str">
        <f t="shared" si="5"/>
        <v/>
      </c>
      <c r="S19" s="574">
        <f t="shared" si="6"/>
        <v>0</v>
      </c>
      <c r="T19" s="574"/>
      <c r="U19" s="574"/>
      <c r="V19" s="574"/>
      <c r="W19" s="574">
        <f t="shared" si="10"/>
        <v>0</v>
      </c>
      <c r="X19" s="574"/>
      <c r="Y19" s="575"/>
      <c r="AA19" s="574"/>
    </row>
    <row r="20" spans="1:29">
      <c r="A20" s="639"/>
      <c r="B20" s="640"/>
      <c r="C20" s="640"/>
      <c r="D20" s="640"/>
      <c r="E20" s="640"/>
      <c r="F20" s="640"/>
      <c r="G20" s="640" t="str">
        <f t="shared" si="7"/>
        <v/>
      </c>
      <c r="H20" s="640" t="str">
        <f t="shared" si="8"/>
        <v/>
      </c>
      <c r="I20" s="640" t="str">
        <f t="shared" si="9"/>
        <v/>
      </c>
      <c r="J20" s="641"/>
      <c r="K20" s="641"/>
      <c r="L20" s="640"/>
      <c r="M20" s="640"/>
      <c r="N20" s="574">
        <f t="shared" si="1"/>
        <v>0</v>
      </c>
      <c r="O20" s="574">
        <f t="shared" si="11"/>
        <v>0</v>
      </c>
      <c r="P20" s="574">
        <f t="shared" si="2"/>
        <v>0</v>
      </c>
      <c r="Q20" s="574"/>
      <c r="R20" s="574" t="str">
        <f t="shared" si="5"/>
        <v/>
      </c>
      <c r="S20" s="574">
        <f t="shared" si="6"/>
        <v>0</v>
      </c>
      <c r="T20" s="574"/>
      <c r="U20" s="574"/>
      <c r="V20" s="574"/>
      <c r="W20" s="574">
        <f t="shared" si="10"/>
        <v>0</v>
      </c>
      <c r="X20" s="574"/>
      <c r="Y20" s="575"/>
      <c r="AA20" s="574"/>
    </row>
    <row r="21" spans="1:29">
      <c r="A21" s="639"/>
      <c r="B21" s="640"/>
      <c r="C21" s="640"/>
      <c r="D21" s="640"/>
      <c r="E21" s="640"/>
      <c r="F21" s="640"/>
      <c r="G21" s="640" t="str">
        <f t="shared" si="7"/>
        <v/>
      </c>
      <c r="H21" s="640" t="str">
        <f t="shared" si="8"/>
        <v/>
      </c>
      <c r="I21" s="640" t="str">
        <f t="shared" si="9"/>
        <v/>
      </c>
      <c r="J21" s="641"/>
      <c r="K21" s="641"/>
      <c r="L21" s="640"/>
      <c r="M21" s="640"/>
      <c r="N21" s="574">
        <f t="shared" si="1"/>
        <v>0</v>
      </c>
      <c r="O21" s="574">
        <f t="shared" si="11"/>
        <v>0</v>
      </c>
      <c r="P21" s="574">
        <f t="shared" si="2"/>
        <v>0</v>
      </c>
      <c r="Q21" s="574"/>
      <c r="R21" s="574" t="str">
        <f t="shared" si="5"/>
        <v/>
      </c>
      <c r="S21" s="574">
        <f t="shared" si="6"/>
        <v>0</v>
      </c>
      <c r="T21" s="574"/>
      <c r="U21" s="574"/>
      <c r="V21" s="574"/>
      <c r="W21" s="574">
        <f t="shared" si="10"/>
        <v>0</v>
      </c>
      <c r="Y21" s="572"/>
      <c r="Z21" s="572" t="s">
        <v>1228</v>
      </c>
    </row>
    <row r="22" spans="1:29">
      <c r="A22" s="639"/>
      <c r="B22" s="640"/>
      <c r="C22" s="640"/>
      <c r="D22" s="640"/>
      <c r="E22" s="640"/>
      <c r="F22" s="640"/>
      <c r="G22" s="640" t="str">
        <f t="shared" si="7"/>
        <v/>
      </c>
      <c r="H22" s="640" t="str">
        <f t="shared" si="8"/>
        <v/>
      </c>
      <c r="I22" s="640" t="str">
        <f t="shared" si="9"/>
        <v/>
      </c>
      <c r="J22" s="641"/>
      <c r="K22" s="641"/>
      <c r="L22" s="640"/>
      <c r="M22" s="640"/>
      <c r="N22" s="574">
        <f t="shared" si="1"/>
        <v>0</v>
      </c>
      <c r="O22" s="574">
        <f t="shared" si="11"/>
        <v>0</v>
      </c>
      <c r="P22" s="574">
        <f t="shared" si="2"/>
        <v>0</v>
      </c>
      <c r="Q22" s="574"/>
      <c r="R22" s="574" t="str">
        <f t="shared" si="5"/>
        <v/>
      </c>
      <c r="S22" s="574">
        <f t="shared" si="6"/>
        <v>0</v>
      </c>
      <c r="T22" s="574"/>
      <c r="U22" s="574"/>
      <c r="V22" s="574"/>
      <c r="W22" s="574">
        <f t="shared" si="10"/>
        <v>0</v>
      </c>
      <c r="X22" s="574" t="s">
        <v>1226</v>
      </c>
      <c r="Y22" s="577">
        <v>2</v>
      </c>
      <c r="Z22" s="574">
        <f>VLOOKUP(G3,X22:Y26,2,FALSE)</f>
        <v>2</v>
      </c>
      <c r="AA22" s="574"/>
      <c r="AB22" s="574"/>
      <c r="AC22" s="574"/>
    </row>
    <row r="23" spans="1:29">
      <c r="A23" s="639"/>
      <c r="B23" s="640"/>
      <c r="C23" s="640"/>
      <c r="D23" s="640"/>
      <c r="E23" s="640"/>
      <c r="F23" s="640"/>
      <c r="G23" s="640" t="str">
        <f t="shared" si="7"/>
        <v/>
      </c>
      <c r="H23" s="640" t="str">
        <f t="shared" si="8"/>
        <v/>
      </c>
      <c r="I23" s="640" t="str">
        <f t="shared" si="9"/>
        <v/>
      </c>
      <c r="J23" s="641"/>
      <c r="K23" s="641"/>
      <c r="L23" s="640"/>
      <c r="M23" s="640"/>
      <c r="N23" s="574">
        <f t="shared" si="1"/>
        <v>0</v>
      </c>
      <c r="O23" s="574">
        <f t="shared" si="11"/>
        <v>0</v>
      </c>
      <c r="P23" s="574">
        <f t="shared" si="2"/>
        <v>0</v>
      </c>
      <c r="Q23" s="574"/>
      <c r="R23" s="574" t="str">
        <f t="shared" si="5"/>
        <v/>
      </c>
      <c r="S23" s="574">
        <f t="shared" si="6"/>
        <v>0</v>
      </c>
      <c r="T23" s="574"/>
      <c r="U23" s="574"/>
      <c r="V23" s="574"/>
      <c r="W23" s="574">
        <f t="shared" si="10"/>
        <v>0</v>
      </c>
      <c r="X23" s="574" t="s">
        <v>1233</v>
      </c>
      <c r="Y23" s="577">
        <v>2</v>
      </c>
      <c r="Z23" s="574" t="s">
        <v>1229</v>
      </c>
      <c r="AA23" s="574"/>
      <c r="AB23" s="574" t="s">
        <v>590</v>
      </c>
      <c r="AC23" s="574">
        <v>-35</v>
      </c>
    </row>
    <row r="24" spans="1:29">
      <c r="A24" s="639"/>
      <c r="B24" s="640"/>
      <c r="C24" s="640"/>
      <c r="D24" s="640"/>
      <c r="E24" s="640"/>
      <c r="F24" s="640"/>
      <c r="G24" s="640" t="str">
        <f t="shared" si="7"/>
        <v/>
      </c>
      <c r="H24" s="640" t="str">
        <f t="shared" si="8"/>
        <v/>
      </c>
      <c r="I24" s="640" t="str">
        <f t="shared" si="9"/>
        <v/>
      </c>
      <c r="J24" s="641"/>
      <c r="K24" s="641"/>
      <c r="L24" s="640"/>
      <c r="M24" s="640"/>
      <c r="N24" s="574">
        <f t="shared" si="1"/>
        <v>0</v>
      </c>
      <c r="O24" s="574">
        <f t="shared" si="11"/>
        <v>0</v>
      </c>
      <c r="P24" s="574">
        <f t="shared" si="2"/>
        <v>0</v>
      </c>
      <c r="Q24" s="574"/>
      <c r="R24" s="574" t="str">
        <f t="shared" si="5"/>
        <v/>
      </c>
      <c r="S24" s="574">
        <f t="shared" si="6"/>
        <v>0</v>
      </c>
      <c r="T24" s="574"/>
      <c r="U24" s="574"/>
      <c r="V24" s="574"/>
      <c r="W24" s="574">
        <f t="shared" si="10"/>
        <v>0</v>
      </c>
      <c r="X24" s="574" t="s">
        <v>1234</v>
      </c>
      <c r="Y24" s="577">
        <v>2</v>
      </c>
      <c r="Z24" s="578">
        <f>IF(B3=AB23,AC23,Z22)</f>
        <v>-35</v>
      </c>
      <c r="AA24" s="574"/>
      <c r="AB24" s="579"/>
      <c r="AC24" s="574"/>
    </row>
    <row r="25" spans="1:29">
      <c r="A25" s="639"/>
      <c r="B25" s="640"/>
      <c r="C25" s="640"/>
      <c r="D25" s="640"/>
      <c r="E25" s="640"/>
      <c r="F25" s="640"/>
      <c r="G25" s="640" t="str">
        <f t="shared" si="7"/>
        <v/>
      </c>
      <c r="H25" s="640" t="str">
        <f t="shared" si="8"/>
        <v/>
      </c>
      <c r="I25" s="640" t="str">
        <f t="shared" si="9"/>
        <v/>
      </c>
      <c r="J25" s="641"/>
      <c r="K25" s="641"/>
      <c r="L25" s="640"/>
      <c r="M25" s="640"/>
      <c r="N25" s="574">
        <f t="shared" si="1"/>
        <v>0</v>
      </c>
      <c r="O25" s="574">
        <f t="shared" si="11"/>
        <v>0</v>
      </c>
      <c r="P25" s="574">
        <f t="shared" si="2"/>
        <v>0</v>
      </c>
      <c r="Q25" s="574"/>
      <c r="R25" s="574" t="str">
        <f t="shared" si="5"/>
        <v/>
      </c>
      <c r="S25" s="574">
        <f t="shared" si="6"/>
        <v>0</v>
      </c>
      <c r="T25" s="574"/>
      <c r="U25" s="574"/>
      <c r="V25" s="574"/>
      <c r="W25" s="574">
        <f t="shared" si="10"/>
        <v>0</v>
      </c>
      <c r="X25" s="574" t="s">
        <v>1230</v>
      </c>
      <c r="Y25" s="577">
        <v>2</v>
      </c>
      <c r="Z25" s="574"/>
      <c r="AA25" s="574"/>
    </row>
    <row r="26" spans="1:29">
      <c r="A26" s="639"/>
      <c r="B26" s="640"/>
      <c r="C26" s="640"/>
      <c r="D26" s="640"/>
      <c r="E26" s="640"/>
      <c r="F26" s="640"/>
      <c r="G26" s="640" t="str">
        <f t="shared" si="7"/>
        <v/>
      </c>
      <c r="H26" s="640" t="str">
        <f t="shared" si="8"/>
        <v/>
      </c>
      <c r="I26" s="640" t="str">
        <f t="shared" si="9"/>
        <v/>
      </c>
      <c r="J26" s="641"/>
      <c r="K26" s="641"/>
      <c r="L26" s="640"/>
      <c r="M26" s="640"/>
      <c r="N26" s="574">
        <f t="shared" si="1"/>
        <v>0</v>
      </c>
      <c r="O26" s="574">
        <f t="shared" si="11"/>
        <v>0</v>
      </c>
      <c r="P26" s="574">
        <f t="shared" si="2"/>
        <v>0</v>
      </c>
      <c r="Q26" s="574"/>
      <c r="R26" s="574" t="str">
        <f t="shared" si="5"/>
        <v/>
      </c>
      <c r="S26" s="574">
        <f t="shared" si="6"/>
        <v>0</v>
      </c>
      <c r="T26" s="574"/>
      <c r="U26" s="574"/>
      <c r="V26" s="574"/>
      <c r="W26" s="574">
        <f t="shared" si="10"/>
        <v>0</v>
      </c>
      <c r="X26" s="577" t="s">
        <v>1227</v>
      </c>
      <c r="Y26" s="577">
        <v>0</v>
      </c>
      <c r="Z26" s="574"/>
      <c r="AA26" s="574"/>
    </row>
    <row r="27" spans="1:29">
      <c r="A27" s="639"/>
      <c r="B27" s="640"/>
      <c r="C27" s="640"/>
      <c r="D27" s="640"/>
      <c r="E27" s="640"/>
      <c r="F27" s="640"/>
      <c r="G27" s="640" t="str">
        <f t="shared" si="7"/>
        <v/>
      </c>
      <c r="H27" s="640" t="str">
        <f t="shared" si="8"/>
        <v/>
      </c>
      <c r="I27" s="640" t="str">
        <f t="shared" si="9"/>
        <v/>
      </c>
      <c r="J27" s="641"/>
      <c r="K27" s="641"/>
      <c r="L27" s="640"/>
      <c r="M27" s="640"/>
      <c r="N27" s="574">
        <f t="shared" si="1"/>
        <v>0</v>
      </c>
      <c r="O27" s="574">
        <f t="shared" si="11"/>
        <v>0</v>
      </c>
      <c r="P27" s="574">
        <f t="shared" si="2"/>
        <v>0</v>
      </c>
      <c r="Q27" s="574"/>
      <c r="R27" s="574" t="str">
        <f t="shared" si="5"/>
        <v/>
      </c>
      <c r="S27" s="574">
        <f t="shared" si="6"/>
        <v>0</v>
      </c>
      <c r="T27" s="574"/>
      <c r="U27" s="574"/>
      <c r="V27" s="574"/>
      <c r="W27" s="574">
        <f t="shared" si="10"/>
        <v>0</v>
      </c>
      <c r="X27" s="574"/>
      <c r="Y27" s="575"/>
      <c r="AA27" s="574"/>
    </row>
    <row r="28" spans="1:29">
      <c r="A28" s="639"/>
      <c r="B28" s="640"/>
      <c r="C28" s="640"/>
      <c r="D28" s="640"/>
      <c r="E28" s="640"/>
      <c r="F28" s="640"/>
      <c r="G28" s="640" t="str">
        <f t="shared" si="7"/>
        <v/>
      </c>
      <c r="H28" s="640" t="str">
        <f t="shared" si="8"/>
        <v/>
      </c>
      <c r="I28" s="640" t="str">
        <f t="shared" si="9"/>
        <v/>
      </c>
      <c r="J28" s="641"/>
      <c r="K28" s="641"/>
      <c r="L28" s="640"/>
      <c r="M28" s="640"/>
      <c r="N28" s="574">
        <f t="shared" si="1"/>
        <v>0</v>
      </c>
      <c r="O28" s="574">
        <f t="shared" si="11"/>
        <v>0</v>
      </c>
      <c r="P28" s="574">
        <f t="shared" si="2"/>
        <v>0</v>
      </c>
      <c r="Q28" s="574"/>
      <c r="R28" s="574" t="str">
        <f t="shared" si="5"/>
        <v/>
      </c>
      <c r="S28" s="574">
        <f t="shared" si="6"/>
        <v>0</v>
      </c>
      <c r="T28" s="574"/>
      <c r="U28" s="574"/>
      <c r="V28" s="574"/>
      <c r="W28" s="574">
        <f t="shared" si="10"/>
        <v>0</v>
      </c>
      <c r="X28" s="574"/>
      <c r="Y28" s="575"/>
      <c r="AA28" s="574"/>
    </row>
    <row r="29" spans="1:29">
      <c r="A29" s="641" t="s">
        <v>1235</v>
      </c>
      <c r="B29" s="641"/>
      <c r="C29" s="641"/>
      <c r="D29" s="641"/>
      <c r="E29" s="641"/>
      <c r="F29" s="641"/>
      <c r="G29" s="641"/>
      <c r="H29" s="641"/>
      <c r="I29" s="641"/>
      <c r="J29" s="641"/>
      <c r="K29" s="641"/>
      <c r="L29" s="642"/>
      <c r="M29" s="642"/>
      <c r="N29" s="574">
        <f t="shared" si="1"/>
        <v>0</v>
      </c>
      <c r="O29" s="574">
        <f t="shared" si="11"/>
        <v>0</v>
      </c>
      <c r="P29" s="574">
        <f t="shared" si="2"/>
        <v>0</v>
      </c>
      <c r="Q29" s="574"/>
      <c r="R29" s="574">
        <f t="shared" si="5"/>
        <v>0</v>
      </c>
      <c r="S29" s="574">
        <f t="shared" si="6"/>
        <v>0</v>
      </c>
      <c r="T29" s="574"/>
      <c r="U29" s="574"/>
      <c r="V29" s="574"/>
      <c r="W29" s="574"/>
      <c r="X29" s="574"/>
      <c r="Y29" s="575"/>
      <c r="AA29" s="574"/>
    </row>
    <row r="30" spans="1:29">
      <c r="A30" s="639"/>
      <c r="B30" s="640"/>
      <c r="C30" s="640"/>
      <c r="D30" s="640"/>
      <c r="E30" s="640"/>
      <c r="F30" s="640"/>
      <c r="G30" s="640" t="str">
        <f t="shared" ref="G30:G39" si="12">IF(B30&gt;0,IF(J30="平板无刀型",B30,B30+$Z$22),"")</f>
        <v/>
      </c>
      <c r="H30" s="640" t="str">
        <f t="shared" ref="H30:H39" si="13">IF(C30&gt;0,IF(J30="平板无刀型",C30,C30+$Z$24),"")</f>
        <v/>
      </c>
      <c r="I30" s="640" t="str">
        <f t="shared" si="9"/>
        <v/>
      </c>
      <c r="J30" s="641"/>
      <c r="K30" s="641"/>
      <c r="L30" s="640"/>
      <c r="M30" s="640"/>
      <c r="N30" s="574">
        <f t="shared" si="1"/>
        <v>0</v>
      </c>
      <c r="O30" s="574">
        <f t="shared" si="11"/>
        <v>0</v>
      </c>
      <c r="P30" s="574">
        <f t="shared" si="2"/>
        <v>0</v>
      </c>
      <c r="Q30" s="574"/>
      <c r="R30" s="574" t="str">
        <f t="shared" si="5"/>
        <v/>
      </c>
      <c r="S30" s="574">
        <f t="shared" si="6"/>
        <v>0</v>
      </c>
      <c r="T30" s="574"/>
      <c r="U30" s="574"/>
      <c r="V30" s="574"/>
      <c r="W30" s="574"/>
      <c r="X30" s="574"/>
      <c r="Y30" s="575"/>
      <c r="AA30" s="574"/>
    </row>
    <row r="31" spans="1:29">
      <c r="A31" s="639"/>
      <c r="B31" s="640"/>
      <c r="C31" s="640"/>
      <c r="D31" s="640"/>
      <c r="E31" s="640"/>
      <c r="F31" s="640"/>
      <c r="G31" s="640" t="str">
        <f t="shared" si="12"/>
        <v/>
      </c>
      <c r="H31" s="640" t="str">
        <f t="shared" si="13"/>
        <v/>
      </c>
      <c r="I31" s="640" t="str">
        <f t="shared" si="9"/>
        <v/>
      </c>
      <c r="J31" s="641"/>
      <c r="K31" s="641"/>
      <c r="L31" s="640"/>
      <c r="M31" s="640"/>
      <c r="N31" s="574">
        <f t="shared" si="1"/>
        <v>0</v>
      </c>
      <c r="O31" s="574">
        <f t="shared" si="11"/>
        <v>0</v>
      </c>
      <c r="P31" s="574">
        <f t="shared" si="2"/>
        <v>0</v>
      </c>
      <c r="Q31" s="574"/>
      <c r="R31" s="574" t="str">
        <f t="shared" si="5"/>
        <v/>
      </c>
      <c r="S31" s="574">
        <f t="shared" si="6"/>
        <v>0</v>
      </c>
      <c r="T31" s="574"/>
      <c r="U31" s="574"/>
      <c r="V31" s="574"/>
      <c r="W31" s="574"/>
      <c r="X31" s="574"/>
      <c r="Y31" s="575"/>
      <c r="AA31" s="574"/>
    </row>
    <row r="32" spans="1:29">
      <c r="A32" s="639"/>
      <c r="B32" s="640"/>
      <c r="C32" s="640"/>
      <c r="D32" s="640"/>
      <c r="E32" s="640"/>
      <c r="F32" s="640"/>
      <c r="G32" s="640" t="str">
        <f t="shared" si="12"/>
        <v/>
      </c>
      <c r="H32" s="640" t="str">
        <f t="shared" si="13"/>
        <v/>
      </c>
      <c r="I32" s="640" t="str">
        <f t="shared" si="9"/>
        <v/>
      </c>
      <c r="J32" s="641"/>
      <c r="K32" s="641"/>
      <c r="L32" s="640"/>
      <c r="M32" s="640"/>
      <c r="N32" s="574">
        <f t="shared" si="1"/>
        <v>0</v>
      </c>
      <c r="O32" s="574">
        <f t="shared" si="11"/>
        <v>0</v>
      </c>
      <c r="P32" s="574">
        <f t="shared" si="2"/>
        <v>0</v>
      </c>
      <c r="Q32" s="574"/>
      <c r="R32" s="574" t="str">
        <f t="shared" si="5"/>
        <v/>
      </c>
      <c r="S32" s="574">
        <f t="shared" si="6"/>
        <v>0</v>
      </c>
      <c r="T32" s="574"/>
      <c r="U32" s="574"/>
      <c r="V32" s="574"/>
      <c r="W32" s="574"/>
      <c r="X32" s="574"/>
      <c r="Y32" s="575"/>
      <c r="AA32" s="574"/>
    </row>
    <row r="33" spans="1:32">
      <c r="A33" s="639"/>
      <c r="B33" s="640"/>
      <c r="C33" s="640"/>
      <c r="D33" s="640"/>
      <c r="E33" s="640"/>
      <c r="F33" s="640"/>
      <c r="G33" s="640" t="str">
        <f t="shared" si="12"/>
        <v/>
      </c>
      <c r="H33" s="640" t="str">
        <f t="shared" si="13"/>
        <v/>
      </c>
      <c r="I33" s="640" t="str">
        <f t="shared" si="9"/>
        <v/>
      </c>
      <c r="J33" s="641"/>
      <c r="K33" s="641"/>
      <c r="L33" s="640"/>
      <c r="M33" s="640"/>
      <c r="N33" s="574">
        <f t="shared" si="1"/>
        <v>0</v>
      </c>
      <c r="O33" s="574">
        <f t="shared" si="11"/>
        <v>0</v>
      </c>
      <c r="P33" s="574">
        <f t="shared" si="2"/>
        <v>0</v>
      </c>
      <c r="Q33" s="574"/>
      <c r="R33" s="574" t="str">
        <f t="shared" si="5"/>
        <v/>
      </c>
      <c r="S33" s="574">
        <f t="shared" si="6"/>
        <v>0</v>
      </c>
      <c r="T33" s="574"/>
      <c r="U33" s="574"/>
      <c r="V33" s="574"/>
      <c r="W33" s="574"/>
      <c r="X33" s="574"/>
      <c r="Y33" s="575"/>
      <c r="AA33" s="574"/>
    </row>
    <row r="34" spans="1:32">
      <c r="A34" s="639"/>
      <c r="B34" s="640"/>
      <c r="C34" s="640"/>
      <c r="D34" s="640"/>
      <c r="E34" s="640"/>
      <c r="F34" s="640"/>
      <c r="G34" s="640" t="str">
        <f t="shared" si="12"/>
        <v/>
      </c>
      <c r="H34" s="640" t="str">
        <f t="shared" si="13"/>
        <v/>
      </c>
      <c r="I34" s="640" t="str">
        <f t="shared" si="9"/>
        <v/>
      </c>
      <c r="J34" s="641"/>
      <c r="K34" s="641"/>
      <c r="L34" s="640"/>
      <c r="M34" s="640"/>
      <c r="N34" s="574">
        <f t="shared" si="1"/>
        <v>0</v>
      </c>
      <c r="O34" s="574">
        <f t="shared" si="11"/>
        <v>0</v>
      </c>
      <c r="P34" s="574">
        <f t="shared" si="2"/>
        <v>0</v>
      </c>
      <c r="Q34" s="574"/>
      <c r="R34" s="574" t="str">
        <f t="shared" si="5"/>
        <v/>
      </c>
      <c r="S34" s="574">
        <f t="shared" si="6"/>
        <v>0</v>
      </c>
      <c r="T34" s="574"/>
      <c r="U34" s="574"/>
      <c r="V34" s="574"/>
      <c r="W34" s="574"/>
      <c r="X34" s="574"/>
      <c r="Y34" s="575"/>
      <c r="AA34" s="574"/>
    </row>
    <row r="35" spans="1:32">
      <c r="A35" s="643" t="s">
        <v>1200</v>
      </c>
      <c r="B35" s="640"/>
      <c r="C35" s="640"/>
      <c r="D35" s="640"/>
      <c r="E35" s="640"/>
      <c r="F35" s="640"/>
      <c r="G35" s="640" t="str">
        <f t="shared" si="12"/>
        <v/>
      </c>
      <c r="H35" s="640" t="str">
        <f t="shared" si="13"/>
        <v/>
      </c>
      <c r="I35" s="640" t="str">
        <f t="shared" si="9"/>
        <v/>
      </c>
      <c r="J35" s="641"/>
      <c r="K35" s="641"/>
      <c r="L35" s="640"/>
      <c r="M35" s="640"/>
      <c r="N35" s="574">
        <f t="shared" si="1"/>
        <v>0</v>
      </c>
      <c r="O35" s="574">
        <f t="shared" si="11"/>
        <v>0</v>
      </c>
      <c r="P35" s="574">
        <f t="shared" si="2"/>
        <v>0</v>
      </c>
      <c r="Q35" s="574">
        <f>(B35+C35)*2*D35/1000/0.8</f>
        <v>0</v>
      </c>
      <c r="R35" s="574" t="str">
        <f t="shared" si="5"/>
        <v/>
      </c>
      <c r="S35" s="574">
        <f t="shared" si="6"/>
        <v>0</v>
      </c>
      <c r="T35" s="574"/>
      <c r="U35" s="574"/>
      <c r="V35" s="574"/>
      <c r="W35" s="574"/>
      <c r="X35" s="574"/>
      <c r="Y35" s="575"/>
      <c r="AA35" s="574"/>
    </row>
    <row r="36" spans="1:32">
      <c r="A36" s="643" t="s">
        <v>1200</v>
      </c>
      <c r="B36" s="640"/>
      <c r="C36" s="640"/>
      <c r="D36" s="640"/>
      <c r="E36" s="640"/>
      <c r="F36" s="640"/>
      <c r="G36" s="640" t="str">
        <f t="shared" si="12"/>
        <v/>
      </c>
      <c r="H36" s="640" t="str">
        <f t="shared" si="13"/>
        <v/>
      </c>
      <c r="I36" s="640" t="str">
        <f t="shared" si="9"/>
        <v/>
      </c>
      <c r="J36" s="641"/>
      <c r="K36" s="641"/>
      <c r="L36" s="640"/>
      <c r="M36" s="640"/>
      <c r="N36" s="574">
        <f t="shared" si="1"/>
        <v>0</v>
      </c>
      <c r="O36" s="574">
        <f t="shared" si="11"/>
        <v>0</v>
      </c>
      <c r="P36" s="574">
        <f t="shared" si="2"/>
        <v>0</v>
      </c>
      <c r="Q36" s="574">
        <f>(B36+C36)*2*D36/1000/0.8</f>
        <v>0</v>
      </c>
      <c r="R36" s="574" t="str">
        <f t="shared" si="5"/>
        <v/>
      </c>
      <c r="S36" s="574">
        <f t="shared" si="6"/>
        <v>0</v>
      </c>
      <c r="T36" s="574"/>
      <c r="U36" s="574"/>
      <c r="V36" s="574"/>
      <c r="W36" s="574"/>
      <c r="X36" s="574"/>
      <c r="Y36" s="575"/>
      <c r="AA36" s="574"/>
    </row>
    <row r="37" spans="1:32">
      <c r="A37" s="643" t="s">
        <v>1200</v>
      </c>
      <c r="B37" s="640"/>
      <c r="C37" s="640"/>
      <c r="D37" s="640"/>
      <c r="E37" s="640"/>
      <c r="F37" s="640"/>
      <c r="G37" s="640" t="str">
        <f t="shared" si="12"/>
        <v/>
      </c>
      <c r="H37" s="640" t="str">
        <f t="shared" si="13"/>
        <v/>
      </c>
      <c r="I37" s="640" t="str">
        <f t="shared" si="9"/>
        <v/>
      </c>
      <c r="J37" s="641"/>
      <c r="K37" s="641"/>
      <c r="L37" s="640"/>
      <c r="M37" s="640"/>
      <c r="N37" s="574">
        <f t="shared" si="1"/>
        <v>0</v>
      </c>
      <c r="O37" s="574">
        <f t="shared" si="11"/>
        <v>0</v>
      </c>
      <c r="P37" s="574">
        <f t="shared" si="2"/>
        <v>0</v>
      </c>
      <c r="Q37" s="574">
        <f t="shared" ref="Q37:Q39" si="14">(B37+C37)*2*D37/1000/0.8</f>
        <v>0</v>
      </c>
      <c r="R37" s="574" t="str">
        <f t="shared" si="5"/>
        <v/>
      </c>
      <c r="S37" s="574">
        <f t="shared" si="6"/>
        <v>0</v>
      </c>
      <c r="T37" s="574"/>
      <c r="U37" s="574"/>
      <c r="V37" s="574"/>
      <c r="W37" s="574"/>
      <c r="X37" s="574"/>
      <c r="Y37" s="575"/>
      <c r="AA37" s="574"/>
    </row>
    <row r="38" spans="1:32">
      <c r="A38" s="643" t="s">
        <v>1200</v>
      </c>
      <c r="B38" s="640"/>
      <c r="C38" s="640"/>
      <c r="D38" s="640"/>
      <c r="E38" s="640"/>
      <c r="F38" s="640"/>
      <c r="G38" s="640" t="str">
        <f t="shared" si="12"/>
        <v/>
      </c>
      <c r="H38" s="640" t="str">
        <f t="shared" si="13"/>
        <v/>
      </c>
      <c r="I38" s="640" t="str">
        <f t="shared" si="9"/>
        <v/>
      </c>
      <c r="J38" s="641"/>
      <c r="K38" s="641"/>
      <c r="L38" s="640"/>
      <c r="M38" s="640"/>
      <c r="N38" s="574">
        <f t="shared" si="1"/>
        <v>0</v>
      </c>
      <c r="O38" s="574">
        <f t="shared" si="11"/>
        <v>0</v>
      </c>
      <c r="P38" s="574">
        <f t="shared" si="2"/>
        <v>0</v>
      </c>
      <c r="Q38" s="574">
        <f t="shared" si="14"/>
        <v>0</v>
      </c>
      <c r="R38" s="574" t="str">
        <f t="shared" si="5"/>
        <v/>
      </c>
      <c r="S38" s="574">
        <f t="shared" si="6"/>
        <v>0</v>
      </c>
      <c r="T38" s="574"/>
      <c r="U38" s="574"/>
      <c r="V38" s="574"/>
      <c r="W38" s="574"/>
      <c r="X38" s="574"/>
      <c r="Y38" s="575"/>
      <c r="AA38" s="574"/>
    </row>
    <row r="39" spans="1:32">
      <c r="A39" s="643" t="s">
        <v>1200</v>
      </c>
      <c r="B39" s="640"/>
      <c r="C39" s="640"/>
      <c r="D39" s="640"/>
      <c r="E39" s="640"/>
      <c r="F39" s="640"/>
      <c r="G39" s="640" t="str">
        <f t="shared" si="12"/>
        <v/>
      </c>
      <c r="H39" s="640" t="str">
        <f t="shared" si="13"/>
        <v/>
      </c>
      <c r="I39" s="640" t="str">
        <f t="shared" si="9"/>
        <v/>
      </c>
      <c r="J39" s="641"/>
      <c r="K39" s="641"/>
      <c r="L39" s="640"/>
      <c r="M39" s="640"/>
      <c r="N39" s="574">
        <f t="shared" si="1"/>
        <v>0</v>
      </c>
      <c r="O39" s="574">
        <f t="shared" si="11"/>
        <v>0</v>
      </c>
      <c r="P39" s="574">
        <f t="shared" si="2"/>
        <v>0</v>
      </c>
      <c r="Q39" s="574">
        <f t="shared" si="14"/>
        <v>0</v>
      </c>
      <c r="R39" s="574" t="str">
        <f t="shared" si="5"/>
        <v/>
      </c>
      <c r="S39" s="574">
        <f t="shared" si="6"/>
        <v>0</v>
      </c>
      <c r="T39" s="574"/>
      <c r="U39" s="574"/>
      <c r="V39" s="574"/>
      <c r="W39" s="574"/>
      <c r="X39" s="574"/>
      <c r="Y39" s="575"/>
      <c r="AA39" s="574"/>
    </row>
    <row r="40" spans="1:32" s="582" customFormat="1">
      <c r="A40" s="644" t="s">
        <v>468</v>
      </c>
      <c r="B40" s="645">
        <v>2440</v>
      </c>
      <c r="C40" s="645"/>
      <c r="D40" s="645"/>
      <c r="E40" s="645"/>
      <c r="F40" s="645"/>
      <c r="G40" s="645">
        <f t="shared" ref="G40:I47" si="15">B40</f>
        <v>2440</v>
      </c>
      <c r="H40" s="645">
        <f t="shared" si="15"/>
        <v>0</v>
      </c>
      <c r="I40" s="645">
        <f t="shared" si="15"/>
        <v>0</v>
      </c>
      <c r="J40" s="646" t="s">
        <v>469</v>
      </c>
      <c r="K40" s="646"/>
      <c r="L40" s="645"/>
      <c r="M40" s="645"/>
      <c r="N40" s="580">
        <f t="shared" si="1"/>
        <v>0</v>
      </c>
      <c r="O40" s="574">
        <f t="shared" si="11"/>
        <v>0</v>
      </c>
      <c r="P40" s="574">
        <f t="shared" si="2"/>
        <v>0</v>
      </c>
      <c r="Q40" s="580"/>
      <c r="R40" s="580">
        <f>I40</f>
        <v>0</v>
      </c>
      <c r="S40" s="580"/>
      <c r="T40" s="580"/>
      <c r="U40" s="580"/>
      <c r="V40" s="580">
        <f>(B40+18*2)*(C40+18*2)*D40/1000000</f>
        <v>0</v>
      </c>
      <c r="W40" s="574"/>
      <c r="X40" s="580"/>
      <c r="Y40" s="581"/>
      <c r="AA40" s="580"/>
      <c r="AE40" s="660"/>
      <c r="AF40" s="583"/>
    </row>
    <row r="41" spans="1:32">
      <c r="A41" s="647" t="s">
        <v>470</v>
      </c>
      <c r="B41" s="640">
        <v>50</v>
      </c>
      <c r="C41" s="640">
        <v>720</v>
      </c>
      <c r="D41" s="640"/>
      <c r="E41" s="640"/>
      <c r="F41" s="640"/>
      <c r="G41" s="640">
        <f t="shared" si="15"/>
        <v>50</v>
      </c>
      <c r="H41" s="640">
        <f t="shared" si="15"/>
        <v>720</v>
      </c>
      <c r="I41" s="640">
        <f t="shared" si="15"/>
        <v>0</v>
      </c>
      <c r="J41" s="641" t="s">
        <v>471</v>
      </c>
      <c r="K41" s="641"/>
      <c r="L41" s="640"/>
      <c r="M41" s="640"/>
      <c r="N41" s="574">
        <f t="shared" si="1"/>
        <v>0</v>
      </c>
      <c r="O41" s="574">
        <f t="shared" si="11"/>
        <v>0</v>
      </c>
      <c r="P41" s="574">
        <f t="shared" si="2"/>
        <v>0</v>
      </c>
      <c r="Q41" s="574"/>
      <c r="R41" s="574">
        <f>I41</f>
        <v>0</v>
      </c>
      <c r="S41" s="574"/>
      <c r="T41" s="574"/>
      <c r="U41" s="574">
        <f>(B41+18*2)*(C41+18*2)*D41/1000000</f>
        <v>0</v>
      </c>
      <c r="V41" s="574"/>
      <c r="W41" s="574"/>
      <c r="X41" s="574"/>
      <c r="Y41" s="575"/>
      <c r="AA41" s="574"/>
    </row>
    <row r="42" spans="1:32">
      <c r="A42" s="647" t="s">
        <v>470</v>
      </c>
      <c r="B42" s="640">
        <v>50</v>
      </c>
      <c r="C42" s="640">
        <v>720</v>
      </c>
      <c r="D42" s="640"/>
      <c r="E42" s="640"/>
      <c r="F42" s="640"/>
      <c r="G42" s="640">
        <f t="shared" si="15"/>
        <v>50</v>
      </c>
      <c r="H42" s="640">
        <f t="shared" si="15"/>
        <v>720</v>
      </c>
      <c r="I42" s="640">
        <f t="shared" si="15"/>
        <v>0</v>
      </c>
      <c r="J42" s="641" t="s">
        <v>471</v>
      </c>
      <c r="K42" s="641"/>
      <c r="L42" s="640"/>
      <c r="M42" s="640"/>
      <c r="N42" s="574">
        <f t="shared" si="1"/>
        <v>0</v>
      </c>
      <c r="O42" s="574">
        <f t="shared" si="11"/>
        <v>0</v>
      </c>
      <c r="P42" s="574">
        <f t="shared" si="2"/>
        <v>0</v>
      </c>
      <c r="Q42" s="574"/>
      <c r="R42" s="574">
        <f t="shared" si="5"/>
        <v>0</v>
      </c>
      <c r="S42" s="574"/>
      <c r="T42" s="574"/>
      <c r="U42" s="574">
        <f>(B42+18*2)*(C42+18*2)*D42/1000000</f>
        <v>0</v>
      </c>
      <c r="V42" s="574"/>
      <c r="W42" s="574"/>
      <c r="X42" s="574"/>
      <c r="Y42" s="575"/>
      <c r="AA42" s="574"/>
    </row>
    <row r="43" spans="1:32">
      <c r="A43" s="647" t="s">
        <v>470</v>
      </c>
      <c r="B43" s="640">
        <v>50</v>
      </c>
      <c r="C43" s="640">
        <v>2160</v>
      </c>
      <c r="D43" s="640"/>
      <c r="E43" s="640"/>
      <c r="F43" s="640"/>
      <c r="G43" s="640">
        <f t="shared" si="15"/>
        <v>50</v>
      </c>
      <c r="H43" s="640">
        <f t="shared" si="15"/>
        <v>2160</v>
      </c>
      <c r="I43" s="640">
        <f t="shared" si="15"/>
        <v>0</v>
      </c>
      <c r="J43" s="641" t="s">
        <v>471</v>
      </c>
      <c r="K43" s="641"/>
      <c r="L43" s="640"/>
      <c r="M43" s="640"/>
      <c r="N43" s="574">
        <f t="shared" si="1"/>
        <v>0</v>
      </c>
      <c r="O43" s="574">
        <f t="shared" si="11"/>
        <v>0</v>
      </c>
      <c r="P43" s="574">
        <f t="shared" si="2"/>
        <v>0</v>
      </c>
      <c r="Q43" s="574"/>
      <c r="R43" s="574">
        <f t="shared" si="5"/>
        <v>0</v>
      </c>
      <c r="S43" s="574"/>
      <c r="T43" s="574"/>
      <c r="U43" s="574">
        <f>(B43+18*2)*(C43+18*2)*D43/1000000</f>
        <v>0</v>
      </c>
      <c r="V43" s="574"/>
      <c r="W43" s="574"/>
      <c r="X43" s="574"/>
      <c r="Y43" s="575"/>
      <c r="AA43" s="574"/>
    </row>
    <row r="44" spans="1:32">
      <c r="A44" s="647" t="s">
        <v>472</v>
      </c>
      <c r="B44" s="640">
        <v>50</v>
      </c>
      <c r="C44" s="640">
        <v>60</v>
      </c>
      <c r="D44" s="640"/>
      <c r="E44" s="640"/>
      <c r="F44" s="640"/>
      <c r="G44" s="640">
        <f>C44+2</f>
        <v>62</v>
      </c>
      <c r="H44" s="640">
        <v>2400</v>
      </c>
      <c r="I44" s="640">
        <v>1</v>
      </c>
      <c r="J44" s="641" t="s">
        <v>471</v>
      </c>
      <c r="K44" s="641" t="s">
        <v>1237</v>
      </c>
      <c r="L44" s="640"/>
      <c r="M44" s="640"/>
      <c r="N44" s="574">
        <f t="shared" si="1"/>
        <v>0</v>
      </c>
      <c r="O44" s="574">
        <f t="shared" si="11"/>
        <v>0</v>
      </c>
      <c r="P44" s="574" t="str">
        <f t="shared" si="2"/>
        <v>0</v>
      </c>
      <c r="Q44" s="574"/>
      <c r="R44" s="574">
        <f>I44</f>
        <v>1</v>
      </c>
      <c r="S44" s="574"/>
      <c r="T44" s="574">
        <f>(B44+18*2)*(C44+18*2)*D44/1000000</f>
        <v>0</v>
      </c>
      <c r="U44" s="574"/>
      <c r="V44" s="574"/>
      <c r="W44" s="574"/>
      <c r="X44" s="574"/>
      <c r="Y44" s="575"/>
      <c r="AA44" s="574"/>
    </row>
    <row r="45" spans="1:32">
      <c r="A45" s="647" t="s">
        <v>472</v>
      </c>
      <c r="B45" s="640">
        <v>50</v>
      </c>
      <c r="C45" s="640">
        <f>C40</f>
        <v>0</v>
      </c>
      <c r="D45" s="640"/>
      <c r="E45" s="640"/>
      <c r="F45" s="640"/>
      <c r="G45" s="640">
        <f>C45+2</f>
        <v>2</v>
      </c>
      <c r="H45" s="640">
        <v>2400</v>
      </c>
      <c r="I45" s="640">
        <v>1</v>
      </c>
      <c r="J45" s="641" t="s">
        <v>471</v>
      </c>
      <c r="K45" s="641" t="s">
        <v>1237</v>
      </c>
      <c r="L45" s="640"/>
      <c r="M45" s="640"/>
      <c r="N45" s="574">
        <f t="shared" si="1"/>
        <v>0</v>
      </c>
      <c r="O45" s="574">
        <f t="shared" si="11"/>
        <v>0</v>
      </c>
      <c r="P45" s="574" t="str">
        <f t="shared" si="2"/>
        <v>0</v>
      </c>
      <c r="Q45" s="574"/>
      <c r="R45" s="574">
        <f>I45</f>
        <v>1</v>
      </c>
      <c r="S45" s="574"/>
      <c r="T45" s="574">
        <f>(B45+18*2)*(C45+18*2)*D45/1000000</f>
        <v>0</v>
      </c>
      <c r="U45" s="574"/>
      <c r="V45" s="574"/>
      <c r="W45" s="574"/>
      <c r="X45" s="574"/>
      <c r="Y45" s="575"/>
      <c r="AA45" s="574"/>
    </row>
    <row r="46" spans="1:32">
      <c r="A46" s="647" t="s">
        <v>473</v>
      </c>
      <c r="B46" s="640">
        <v>42</v>
      </c>
      <c r="C46" s="640">
        <v>42</v>
      </c>
      <c r="D46" s="640"/>
      <c r="E46" s="640"/>
      <c r="F46" s="640"/>
      <c r="G46" s="640">
        <f t="shared" si="15"/>
        <v>42</v>
      </c>
      <c r="H46" s="640">
        <f t="shared" si="15"/>
        <v>42</v>
      </c>
      <c r="I46" s="640">
        <f t="shared" si="15"/>
        <v>0</v>
      </c>
      <c r="J46" s="641" t="s">
        <v>474</v>
      </c>
      <c r="K46" s="641" t="s">
        <v>1237</v>
      </c>
      <c r="L46" s="640"/>
      <c r="M46" s="640"/>
      <c r="N46" s="574">
        <f t="shared" si="1"/>
        <v>0</v>
      </c>
      <c r="O46" s="574">
        <f t="shared" si="11"/>
        <v>0</v>
      </c>
      <c r="P46" s="574" t="str">
        <f t="shared" si="2"/>
        <v>0</v>
      </c>
      <c r="Q46" s="574"/>
      <c r="R46" s="574"/>
      <c r="S46" s="574"/>
      <c r="T46" s="574">
        <f>(B46+18*2)*(C46+18*2)*D46/1000000</f>
        <v>0</v>
      </c>
      <c r="U46" s="574"/>
      <c r="V46" s="574"/>
      <c r="W46" s="574"/>
      <c r="X46" s="574"/>
      <c r="Y46" s="575"/>
      <c r="AA46" s="574"/>
    </row>
    <row r="47" spans="1:32">
      <c r="A47" s="648" t="s">
        <v>475</v>
      </c>
      <c r="B47" s="641">
        <v>2400</v>
      </c>
      <c r="C47" s="641">
        <v>78</v>
      </c>
      <c r="D47" s="641"/>
      <c r="E47" s="641"/>
      <c r="F47" s="641"/>
      <c r="G47" s="640">
        <v>2440</v>
      </c>
      <c r="H47" s="640">
        <v>85</v>
      </c>
      <c r="I47" s="640">
        <f t="shared" si="15"/>
        <v>0</v>
      </c>
      <c r="J47" s="641" t="s">
        <v>471</v>
      </c>
      <c r="K47" s="641" t="s">
        <v>1237</v>
      </c>
      <c r="L47" s="640"/>
      <c r="M47" s="640"/>
      <c r="N47" s="574">
        <f t="shared" si="1"/>
        <v>0</v>
      </c>
      <c r="O47" s="574">
        <f t="shared" si="11"/>
        <v>0</v>
      </c>
      <c r="P47" s="574" t="str">
        <f t="shared" si="2"/>
        <v>0</v>
      </c>
      <c r="Q47" s="574"/>
      <c r="R47" s="574">
        <f t="shared" si="5"/>
        <v>0</v>
      </c>
      <c r="S47" s="574"/>
      <c r="T47" s="574"/>
      <c r="U47" s="574">
        <f>(G47+18*2)*(H47+18*2)*I47/1000000</f>
        <v>0</v>
      </c>
      <c r="V47" s="574"/>
      <c r="W47" s="574"/>
      <c r="X47" s="574"/>
      <c r="Y47" s="575"/>
      <c r="AA47" s="574"/>
    </row>
    <row r="48" spans="1:32">
      <c r="A48" s="648"/>
      <c r="B48" s="641"/>
      <c r="C48" s="641"/>
      <c r="D48" s="641"/>
      <c r="E48" s="641"/>
      <c r="F48" s="641"/>
      <c r="G48" s="640">
        <v>2440</v>
      </c>
      <c r="H48" s="640">
        <v>60</v>
      </c>
      <c r="I48" s="640">
        <f>+D47</f>
        <v>0</v>
      </c>
      <c r="J48" s="641" t="s">
        <v>476</v>
      </c>
      <c r="K48" s="641" t="s">
        <v>1237</v>
      </c>
      <c r="L48" s="640"/>
      <c r="M48" s="640"/>
      <c r="N48" s="574">
        <f>B47*C47*D47/1000000</f>
        <v>0</v>
      </c>
      <c r="O48" s="574">
        <f>(B47+36*2+170)*(C47+36*2+170)*D47/1000000</f>
        <v>0</v>
      </c>
      <c r="P48" s="574" t="str">
        <f t="shared" si="2"/>
        <v>0</v>
      </c>
      <c r="Q48" s="574"/>
      <c r="R48" s="574">
        <f t="shared" si="5"/>
        <v>0</v>
      </c>
      <c r="S48" s="574"/>
      <c r="T48" s="574"/>
      <c r="U48" s="574">
        <f>(G48+18*2)*(H48+18*2)*I48/1000000</f>
        <v>0</v>
      </c>
      <c r="V48" s="574"/>
      <c r="W48" s="574"/>
      <c r="X48" s="574"/>
      <c r="Y48" s="575"/>
      <c r="AA48" s="574"/>
    </row>
    <row r="49" spans="1:27">
      <c r="A49" s="647"/>
      <c r="B49" s="640"/>
      <c r="C49" s="640"/>
      <c r="D49" s="640"/>
      <c r="E49" s="640"/>
      <c r="F49" s="640"/>
      <c r="G49" s="640"/>
      <c r="H49" s="640"/>
      <c r="I49" s="640"/>
      <c r="J49" s="641"/>
      <c r="K49" s="641"/>
      <c r="L49" s="640"/>
      <c r="M49" s="640"/>
      <c r="N49" s="574">
        <f t="shared" si="1"/>
        <v>0</v>
      </c>
      <c r="O49" s="574">
        <f t="shared" si="11"/>
        <v>0</v>
      </c>
      <c r="P49" s="574">
        <f t="shared" si="2"/>
        <v>0</v>
      </c>
      <c r="Q49" s="574"/>
      <c r="R49" s="574">
        <f t="shared" si="5"/>
        <v>0</v>
      </c>
      <c r="S49" s="574"/>
      <c r="T49" s="574"/>
      <c r="U49" s="574"/>
      <c r="V49" s="574"/>
      <c r="W49" s="574"/>
      <c r="X49" s="574"/>
      <c r="Y49" s="575"/>
      <c r="AA49" s="574"/>
    </row>
    <row r="50" spans="1:27">
      <c r="A50" s="639"/>
      <c r="B50" s="640"/>
      <c r="C50" s="640"/>
      <c r="D50" s="640"/>
      <c r="E50" s="640"/>
      <c r="F50" s="640"/>
      <c r="G50" s="640"/>
      <c r="H50" s="640"/>
      <c r="I50" s="640"/>
      <c r="J50" s="641"/>
      <c r="K50" s="641"/>
      <c r="L50" s="640"/>
      <c r="M50" s="640"/>
      <c r="N50" s="574">
        <f t="shared" si="1"/>
        <v>0</v>
      </c>
      <c r="O50" s="574">
        <f t="shared" si="11"/>
        <v>0</v>
      </c>
      <c r="P50" s="574">
        <f t="shared" si="2"/>
        <v>0</v>
      </c>
      <c r="Q50" s="574"/>
      <c r="R50" s="574">
        <f t="shared" si="5"/>
        <v>0</v>
      </c>
      <c r="S50" s="574"/>
      <c r="T50" s="574"/>
      <c r="U50" s="574"/>
      <c r="V50" s="574"/>
      <c r="W50" s="574"/>
      <c r="X50" s="574"/>
      <c r="Y50" s="575"/>
      <c r="AA50" s="574"/>
    </row>
    <row r="51" spans="1:27">
      <c r="A51" s="601" t="s">
        <v>477</v>
      </c>
      <c r="B51" s="601"/>
      <c r="C51" s="601"/>
      <c r="D51" s="601"/>
      <c r="E51" s="601"/>
      <c r="F51" s="601"/>
      <c r="G51" s="601"/>
      <c r="H51" s="601"/>
      <c r="I51" s="601"/>
      <c r="J51" s="601"/>
      <c r="K51" s="601"/>
      <c r="L51" s="601"/>
      <c r="M51" s="601"/>
      <c r="N51" s="574">
        <f>SUM(N7:N50)</f>
        <v>0</v>
      </c>
      <c r="O51" s="584">
        <f t="shared" ref="O51:V51" si="16">SUM(O7:O50)</f>
        <v>0</v>
      </c>
      <c r="P51" s="584">
        <f t="shared" si="16"/>
        <v>0</v>
      </c>
      <c r="Q51" s="585">
        <f>SUM(Q7:Q50)</f>
        <v>0</v>
      </c>
      <c r="R51" s="574">
        <f t="shared" si="16"/>
        <v>2</v>
      </c>
      <c r="S51" s="584">
        <f t="shared" si="16"/>
        <v>0</v>
      </c>
      <c r="T51" s="584">
        <f t="shared" si="16"/>
        <v>0</v>
      </c>
      <c r="U51" s="584">
        <f>SUM(U7:U50)</f>
        <v>0</v>
      </c>
      <c r="V51" s="584">
        <f t="shared" si="16"/>
        <v>0</v>
      </c>
      <c r="W51" s="574"/>
      <c r="X51" s="574"/>
      <c r="Y51" s="575"/>
      <c r="AA51" s="574"/>
    </row>
    <row r="52" spans="1:27">
      <c r="A52" s="597" t="s">
        <v>1251</v>
      </c>
      <c r="B52" s="593"/>
      <c r="C52" s="593"/>
      <c r="D52" s="593"/>
      <c r="E52" s="593"/>
      <c r="F52" s="593"/>
      <c r="G52" s="593"/>
      <c r="H52" s="593"/>
      <c r="I52" s="593"/>
      <c r="J52" s="593"/>
      <c r="K52" s="593"/>
      <c r="L52" s="593"/>
      <c r="M52" s="593"/>
      <c r="N52" s="574"/>
      <c r="O52" s="586" t="s">
        <v>1208</v>
      </c>
      <c r="Q52" s="574"/>
      <c r="R52" s="574"/>
      <c r="S52" s="587">
        <f>S51*72+T51*122+U51*152+V51*50</f>
        <v>0</v>
      </c>
      <c r="T52" s="574"/>
      <c r="U52" s="574"/>
      <c r="V52" s="574"/>
      <c r="W52" s="569">
        <f>SUM(W7:W51)</f>
        <v>0</v>
      </c>
      <c r="X52" s="574"/>
      <c r="Y52" s="575"/>
      <c r="AA52" s="574"/>
    </row>
    <row r="53" spans="1:27">
      <c r="A53" s="593" t="s">
        <v>1239</v>
      </c>
      <c r="B53" s="593"/>
      <c r="C53" s="593"/>
      <c r="D53" s="593"/>
      <c r="E53" s="593"/>
      <c r="F53" s="593"/>
      <c r="G53" s="593"/>
      <c r="H53" s="593"/>
      <c r="I53" s="593"/>
      <c r="J53" s="593"/>
      <c r="K53" s="593"/>
      <c r="L53" s="593"/>
      <c r="M53" s="593"/>
      <c r="N53" s="574"/>
      <c r="O53" s="588">
        <f>VLOOKUP(B4,X:AD,3,FALSE)*O51</f>
        <v>0</v>
      </c>
      <c r="Q53" s="574"/>
      <c r="R53" s="574"/>
      <c r="S53" s="586" t="s">
        <v>1209</v>
      </c>
      <c r="T53" s="574"/>
      <c r="U53" s="574"/>
      <c r="V53" s="574"/>
      <c r="W53" s="589" t="s">
        <v>590</v>
      </c>
      <c r="X53" s="574"/>
      <c r="Y53" s="575"/>
      <c r="Z53" s="574"/>
      <c r="AA53" s="574"/>
    </row>
    <row r="54" spans="1:27">
      <c r="A54" s="598" t="s">
        <v>1318</v>
      </c>
      <c r="B54" s="599"/>
      <c r="C54" s="599"/>
      <c r="D54" s="599"/>
      <c r="E54" s="599"/>
      <c r="F54" s="599"/>
      <c r="G54" s="599"/>
      <c r="H54" s="599"/>
      <c r="I54" s="599"/>
      <c r="J54" s="599"/>
      <c r="K54" s="599"/>
      <c r="L54" s="600"/>
      <c r="M54" s="600"/>
    </row>
    <row r="55" spans="1:27">
      <c r="A55" s="591"/>
      <c r="B55" s="759"/>
      <c r="C55" s="759"/>
      <c r="D55" s="590"/>
      <c r="E55" s="590"/>
      <c r="F55" s="590"/>
      <c r="G55" s="571"/>
      <c r="H55" s="590"/>
      <c r="I55" s="590"/>
      <c r="J55" s="590"/>
      <c r="K55" s="571"/>
    </row>
    <row r="57" spans="1:27">
      <c r="D57" s="592" t="s">
        <v>1231</v>
      </c>
      <c r="E57" s="592"/>
      <c r="F57" s="592"/>
    </row>
  </sheetData>
  <protectedRanges>
    <protectedRange sqref="G2 A10:A28 A30:A48 B10:F48 B5:C6 M1:M2 H3:I3 B4 A4:A6 D1:E3 I2:L2 A49:M55 H10:M48 K5 J6:K6 D4:I6 L3:M6 J4:K4 A1:C1 A2:B3 F1:H1 J1:L1" name="区域1"/>
  </protectedRanges>
  <mergeCells count="2">
    <mergeCell ref="A1:M1"/>
    <mergeCell ref="B55:C55"/>
  </mergeCells>
  <phoneticPr fontId="3" type="noConversion"/>
  <dataValidations count="5">
    <dataValidation type="list" allowBlank="1" showInputMessage="1" showErrorMessage="1" sqref="L2 H65536:I65536 H131072:I13107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H983040:I983040 H917504:I917504 H851968:I851968 H786432:I786432 H720896:I720896 H655360:I655360 H589824:I589824 H524288:I524288 H458752:I458752 H393216:I393216 H327680:I327680 H262144:I262144 H196608:I196608">
      <formula1>$AA$22:$AA$23</formula1>
    </dataValidation>
    <dataValidation type="list" allowBlank="1" showInputMessage="1" showErrorMessage="1" sqref="WVV983043 L65538:M65538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L983042:M983042 L917506:M917506 L851970:M851970 L786434:M786434 L720898:M720898 L655362:M655362 L589826:M589826 L524290:M524290 L458754:M458754 L393218:M393218 L327682:M327682 L262146:M262146 L196610:M196610 L131074:M131074">
      <formula1>$X$22:$X$24</formula1>
    </dataValidation>
    <dataValidation type="list" allowBlank="1" showInputMessage="1" showErrorMessage="1" sqref="WVN983043:WVT983043 C65538:J65538 JB65539:JH65539 SX65539:TD65539 ACT65539:ACZ65539 AMP65539:AMV65539 AWL65539:AWR65539 BGH65539:BGN65539 BQD65539:BQJ65539 BZZ65539:CAF65539 CJV65539:CKB65539 CTR65539:CTX65539 DDN65539:DDT65539 DNJ65539:DNP65539 DXF65539:DXL65539 EHB65539:EHH65539 EQX65539:ERD65539 FAT65539:FAZ65539 FKP65539:FKV65539 FUL65539:FUR65539 GEH65539:GEN65539 GOD65539:GOJ65539 GXZ65539:GYF65539 HHV65539:HIB65539 HRR65539:HRX65539 IBN65539:IBT65539 ILJ65539:ILP65539 IVF65539:IVL65539 JFB65539:JFH65539 JOX65539:JPD65539 JYT65539:JYZ65539 KIP65539:KIV65539 KSL65539:KSR65539 LCH65539:LCN65539 LMD65539:LMJ65539 LVZ65539:LWF65539 MFV65539:MGB65539 MPR65539:MPX65539 MZN65539:MZT65539 NJJ65539:NJP65539 NTF65539:NTL65539 ODB65539:ODH65539 OMX65539:OND65539 OWT65539:OWZ65539 PGP65539:PGV65539 PQL65539:PQR65539 QAH65539:QAN65539 QKD65539:QKJ65539 QTZ65539:QUF65539 RDV65539:REB65539 RNR65539:RNX65539 RXN65539:RXT65539 SHJ65539:SHP65539 SRF65539:SRL65539 TBB65539:TBH65539 TKX65539:TLD65539 TUT65539:TUZ65539 UEP65539:UEV65539 UOL65539:UOR65539 UYH65539:UYN65539 VID65539:VIJ65539 VRZ65539:VSF65539 WBV65539:WCB65539 WLR65539:WLX65539 WVN65539:WVT65539 JB131075:JH131075 SX131075:TD131075 ACT131075:ACZ131075 AMP131075:AMV131075 AWL131075:AWR131075 BGH131075:BGN131075 BQD131075:BQJ131075 BZZ131075:CAF131075 CJV131075:CKB131075 CTR131075:CTX131075 DDN131075:DDT131075 DNJ131075:DNP131075 DXF131075:DXL131075 EHB131075:EHH131075 EQX131075:ERD131075 FAT131075:FAZ131075 FKP131075:FKV131075 FUL131075:FUR131075 GEH131075:GEN131075 GOD131075:GOJ131075 GXZ131075:GYF131075 HHV131075:HIB131075 HRR131075:HRX131075 IBN131075:IBT131075 ILJ131075:ILP131075 IVF131075:IVL131075 JFB131075:JFH131075 JOX131075:JPD131075 JYT131075:JYZ131075 KIP131075:KIV131075 KSL131075:KSR131075 LCH131075:LCN131075 LMD131075:LMJ131075 LVZ131075:LWF131075 MFV131075:MGB131075 MPR131075:MPX131075 MZN131075:MZT131075 NJJ131075:NJP131075 NTF131075:NTL131075 ODB131075:ODH131075 OMX131075:OND131075 OWT131075:OWZ131075 PGP131075:PGV131075 PQL131075:PQR131075 QAH131075:QAN131075 QKD131075:QKJ131075 QTZ131075:QUF131075 RDV131075:REB131075 RNR131075:RNX131075 RXN131075:RXT131075 SHJ131075:SHP131075 SRF131075:SRL131075 TBB131075:TBH131075 TKX131075:TLD131075 TUT131075:TUZ131075 UEP131075:UEV131075 UOL131075:UOR131075 UYH131075:UYN131075 VID131075:VIJ131075 VRZ131075:VSF131075 WBV131075:WCB131075 WLR131075:WLX131075 WVN131075:WVT131075 JB196611:JH196611 SX196611:TD196611 ACT196611:ACZ196611 AMP196611:AMV196611 AWL196611:AWR196611 BGH196611:BGN196611 BQD196611:BQJ196611 BZZ196611:CAF196611 CJV196611:CKB196611 CTR196611:CTX196611 DDN196611:DDT196611 DNJ196611:DNP196611 DXF196611:DXL196611 EHB196611:EHH196611 EQX196611:ERD196611 FAT196611:FAZ196611 FKP196611:FKV196611 FUL196611:FUR196611 GEH196611:GEN196611 GOD196611:GOJ196611 GXZ196611:GYF196611 HHV196611:HIB196611 HRR196611:HRX196611 IBN196611:IBT196611 ILJ196611:ILP196611 IVF196611:IVL196611 JFB196611:JFH196611 JOX196611:JPD196611 JYT196611:JYZ196611 KIP196611:KIV196611 KSL196611:KSR196611 LCH196611:LCN196611 LMD196611:LMJ196611 LVZ196611:LWF196611 MFV196611:MGB196611 MPR196611:MPX196611 MZN196611:MZT196611 NJJ196611:NJP196611 NTF196611:NTL196611 ODB196611:ODH196611 OMX196611:OND196611 OWT196611:OWZ196611 PGP196611:PGV196611 PQL196611:PQR196611 QAH196611:QAN196611 QKD196611:QKJ196611 QTZ196611:QUF196611 RDV196611:REB196611 RNR196611:RNX196611 RXN196611:RXT196611 SHJ196611:SHP196611 SRF196611:SRL196611 TBB196611:TBH196611 TKX196611:TLD196611 TUT196611:TUZ196611 UEP196611:UEV196611 UOL196611:UOR196611 UYH196611:UYN196611 VID196611:VIJ196611 VRZ196611:VSF196611 WBV196611:WCB196611 WLR196611:WLX196611 WVN196611:WVT196611 JB262147:JH262147 SX262147:TD262147 ACT262147:ACZ262147 AMP262147:AMV262147 AWL262147:AWR262147 BGH262147:BGN262147 BQD262147:BQJ262147 BZZ262147:CAF262147 CJV262147:CKB262147 CTR262147:CTX262147 DDN262147:DDT262147 DNJ262147:DNP262147 DXF262147:DXL262147 EHB262147:EHH262147 EQX262147:ERD262147 FAT262147:FAZ262147 FKP262147:FKV262147 FUL262147:FUR262147 GEH262147:GEN262147 GOD262147:GOJ262147 GXZ262147:GYF262147 HHV262147:HIB262147 HRR262147:HRX262147 IBN262147:IBT262147 ILJ262147:ILP262147 IVF262147:IVL262147 JFB262147:JFH262147 JOX262147:JPD262147 JYT262147:JYZ262147 KIP262147:KIV262147 KSL262147:KSR262147 LCH262147:LCN262147 LMD262147:LMJ262147 LVZ262147:LWF262147 MFV262147:MGB262147 MPR262147:MPX262147 MZN262147:MZT262147 NJJ262147:NJP262147 NTF262147:NTL262147 ODB262147:ODH262147 OMX262147:OND262147 OWT262147:OWZ262147 PGP262147:PGV262147 PQL262147:PQR262147 QAH262147:QAN262147 QKD262147:QKJ262147 QTZ262147:QUF262147 RDV262147:REB262147 RNR262147:RNX262147 RXN262147:RXT262147 SHJ262147:SHP262147 SRF262147:SRL262147 TBB262147:TBH262147 TKX262147:TLD262147 TUT262147:TUZ262147 UEP262147:UEV262147 UOL262147:UOR262147 UYH262147:UYN262147 VID262147:VIJ262147 VRZ262147:VSF262147 WBV262147:WCB262147 WLR262147:WLX262147 WVN262147:WVT262147 JB327683:JH327683 SX327683:TD327683 ACT327683:ACZ327683 AMP327683:AMV327683 AWL327683:AWR327683 BGH327683:BGN327683 BQD327683:BQJ327683 BZZ327683:CAF327683 CJV327683:CKB327683 CTR327683:CTX327683 DDN327683:DDT327683 DNJ327683:DNP327683 DXF327683:DXL327683 EHB327683:EHH327683 EQX327683:ERD327683 FAT327683:FAZ327683 FKP327683:FKV327683 FUL327683:FUR327683 GEH327683:GEN327683 GOD327683:GOJ327683 GXZ327683:GYF327683 HHV327683:HIB327683 HRR327683:HRX327683 IBN327683:IBT327683 ILJ327683:ILP327683 IVF327683:IVL327683 JFB327683:JFH327683 JOX327683:JPD327683 JYT327683:JYZ327683 KIP327683:KIV327683 KSL327683:KSR327683 LCH327683:LCN327683 LMD327683:LMJ327683 LVZ327683:LWF327683 MFV327683:MGB327683 MPR327683:MPX327683 MZN327683:MZT327683 NJJ327683:NJP327683 NTF327683:NTL327683 ODB327683:ODH327683 OMX327683:OND327683 OWT327683:OWZ327683 PGP327683:PGV327683 PQL327683:PQR327683 QAH327683:QAN327683 QKD327683:QKJ327683 QTZ327683:QUF327683 RDV327683:REB327683 RNR327683:RNX327683 RXN327683:RXT327683 SHJ327683:SHP327683 SRF327683:SRL327683 TBB327683:TBH327683 TKX327683:TLD327683 TUT327683:TUZ327683 UEP327683:UEV327683 UOL327683:UOR327683 UYH327683:UYN327683 VID327683:VIJ327683 VRZ327683:VSF327683 WBV327683:WCB327683 WLR327683:WLX327683 WVN327683:WVT327683 JB393219:JH393219 SX393219:TD393219 ACT393219:ACZ393219 AMP393219:AMV393219 AWL393219:AWR393219 BGH393219:BGN393219 BQD393219:BQJ393219 BZZ393219:CAF393219 CJV393219:CKB393219 CTR393219:CTX393219 DDN393219:DDT393219 DNJ393219:DNP393219 DXF393219:DXL393219 EHB393219:EHH393219 EQX393219:ERD393219 FAT393219:FAZ393219 FKP393219:FKV393219 FUL393219:FUR393219 GEH393219:GEN393219 GOD393219:GOJ393219 GXZ393219:GYF393219 HHV393219:HIB393219 HRR393219:HRX393219 IBN393219:IBT393219 ILJ393219:ILP393219 IVF393219:IVL393219 JFB393219:JFH393219 JOX393219:JPD393219 JYT393219:JYZ393219 KIP393219:KIV393219 KSL393219:KSR393219 LCH393219:LCN393219 LMD393219:LMJ393219 LVZ393219:LWF393219 MFV393219:MGB393219 MPR393219:MPX393219 MZN393219:MZT393219 NJJ393219:NJP393219 NTF393219:NTL393219 ODB393219:ODH393219 OMX393219:OND393219 OWT393219:OWZ393219 PGP393219:PGV393219 PQL393219:PQR393219 QAH393219:QAN393219 QKD393219:QKJ393219 QTZ393219:QUF393219 RDV393219:REB393219 RNR393219:RNX393219 RXN393219:RXT393219 SHJ393219:SHP393219 SRF393219:SRL393219 TBB393219:TBH393219 TKX393219:TLD393219 TUT393219:TUZ393219 UEP393219:UEV393219 UOL393219:UOR393219 UYH393219:UYN393219 VID393219:VIJ393219 VRZ393219:VSF393219 WBV393219:WCB393219 WLR393219:WLX393219 WVN393219:WVT393219 JB458755:JH458755 SX458755:TD458755 ACT458755:ACZ458755 AMP458755:AMV458755 AWL458755:AWR458755 BGH458755:BGN458755 BQD458755:BQJ458755 BZZ458755:CAF458755 CJV458755:CKB458755 CTR458755:CTX458755 DDN458755:DDT458755 DNJ458755:DNP458755 DXF458755:DXL458755 EHB458755:EHH458755 EQX458755:ERD458755 FAT458755:FAZ458755 FKP458755:FKV458755 FUL458755:FUR458755 GEH458755:GEN458755 GOD458755:GOJ458755 GXZ458755:GYF458755 HHV458755:HIB458755 HRR458755:HRX458755 IBN458755:IBT458755 ILJ458755:ILP458755 IVF458755:IVL458755 JFB458755:JFH458755 JOX458755:JPD458755 JYT458755:JYZ458755 KIP458755:KIV458755 KSL458755:KSR458755 LCH458755:LCN458755 LMD458755:LMJ458755 LVZ458755:LWF458755 MFV458755:MGB458755 MPR458755:MPX458755 MZN458755:MZT458755 NJJ458755:NJP458755 NTF458755:NTL458755 ODB458755:ODH458755 OMX458755:OND458755 OWT458755:OWZ458755 PGP458755:PGV458755 PQL458755:PQR458755 QAH458755:QAN458755 QKD458755:QKJ458755 QTZ458755:QUF458755 RDV458755:REB458755 RNR458755:RNX458755 RXN458755:RXT458755 SHJ458755:SHP458755 SRF458755:SRL458755 TBB458755:TBH458755 TKX458755:TLD458755 TUT458755:TUZ458755 UEP458755:UEV458755 UOL458755:UOR458755 UYH458755:UYN458755 VID458755:VIJ458755 VRZ458755:VSF458755 WBV458755:WCB458755 WLR458755:WLX458755 WVN458755:WVT458755 JB524291:JH524291 SX524291:TD524291 ACT524291:ACZ524291 AMP524291:AMV524291 AWL524291:AWR524291 BGH524291:BGN524291 BQD524291:BQJ524291 BZZ524291:CAF524291 CJV524291:CKB524291 CTR524291:CTX524291 DDN524291:DDT524291 DNJ524291:DNP524291 DXF524291:DXL524291 EHB524291:EHH524291 EQX524291:ERD524291 FAT524291:FAZ524291 FKP524291:FKV524291 FUL524291:FUR524291 GEH524291:GEN524291 GOD524291:GOJ524291 GXZ524291:GYF524291 HHV524291:HIB524291 HRR524291:HRX524291 IBN524291:IBT524291 ILJ524291:ILP524291 IVF524291:IVL524291 JFB524291:JFH524291 JOX524291:JPD524291 JYT524291:JYZ524291 KIP524291:KIV524291 KSL524291:KSR524291 LCH524291:LCN524291 LMD524291:LMJ524291 LVZ524291:LWF524291 MFV524291:MGB524291 MPR524291:MPX524291 MZN524291:MZT524291 NJJ524291:NJP524291 NTF524291:NTL524291 ODB524291:ODH524291 OMX524291:OND524291 OWT524291:OWZ524291 PGP524291:PGV524291 PQL524291:PQR524291 QAH524291:QAN524291 QKD524291:QKJ524291 QTZ524291:QUF524291 RDV524291:REB524291 RNR524291:RNX524291 RXN524291:RXT524291 SHJ524291:SHP524291 SRF524291:SRL524291 TBB524291:TBH524291 TKX524291:TLD524291 TUT524291:TUZ524291 UEP524291:UEV524291 UOL524291:UOR524291 UYH524291:UYN524291 VID524291:VIJ524291 VRZ524291:VSF524291 WBV524291:WCB524291 WLR524291:WLX524291 WVN524291:WVT524291 JB589827:JH589827 SX589827:TD589827 ACT589827:ACZ589827 AMP589827:AMV589827 AWL589827:AWR589827 BGH589827:BGN589827 BQD589827:BQJ589827 BZZ589827:CAF589827 CJV589827:CKB589827 CTR589827:CTX589827 DDN589827:DDT589827 DNJ589827:DNP589827 DXF589827:DXL589827 EHB589827:EHH589827 EQX589827:ERD589827 FAT589827:FAZ589827 FKP589827:FKV589827 FUL589827:FUR589827 GEH589827:GEN589827 GOD589827:GOJ589827 GXZ589827:GYF589827 HHV589827:HIB589827 HRR589827:HRX589827 IBN589827:IBT589827 ILJ589827:ILP589827 IVF589827:IVL589827 JFB589827:JFH589827 JOX589827:JPD589827 JYT589827:JYZ589827 KIP589827:KIV589827 KSL589827:KSR589827 LCH589827:LCN589827 LMD589827:LMJ589827 LVZ589827:LWF589827 MFV589827:MGB589827 MPR589827:MPX589827 MZN589827:MZT589827 NJJ589827:NJP589827 NTF589827:NTL589827 ODB589827:ODH589827 OMX589827:OND589827 OWT589827:OWZ589827 PGP589827:PGV589827 PQL589827:PQR589827 QAH589827:QAN589827 QKD589827:QKJ589827 QTZ589827:QUF589827 RDV589827:REB589827 RNR589827:RNX589827 RXN589827:RXT589827 SHJ589827:SHP589827 SRF589827:SRL589827 TBB589827:TBH589827 TKX589827:TLD589827 TUT589827:TUZ589827 UEP589827:UEV589827 UOL589827:UOR589827 UYH589827:UYN589827 VID589827:VIJ589827 VRZ589827:VSF589827 WBV589827:WCB589827 WLR589827:WLX589827 WVN589827:WVT589827 JB655363:JH655363 SX655363:TD655363 ACT655363:ACZ655363 AMP655363:AMV655363 AWL655363:AWR655363 BGH655363:BGN655363 BQD655363:BQJ655363 BZZ655363:CAF655363 CJV655363:CKB655363 CTR655363:CTX655363 DDN655363:DDT655363 DNJ655363:DNP655363 DXF655363:DXL655363 EHB655363:EHH655363 EQX655363:ERD655363 FAT655363:FAZ655363 FKP655363:FKV655363 FUL655363:FUR655363 GEH655363:GEN655363 GOD655363:GOJ655363 GXZ655363:GYF655363 HHV655363:HIB655363 HRR655363:HRX655363 IBN655363:IBT655363 ILJ655363:ILP655363 IVF655363:IVL655363 JFB655363:JFH655363 JOX655363:JPD655363 JYT655363:JYZ655363 KIP655363:KIV655363 KSL655363:KSR655363 LCH655363:LCN655363 LMD655363:LMJ655363 LVZ655363:LWF655363 MFV655363:MGB655363 MPR655363:MPX655363 MZN655363:MZT655363 NJJ655363:NJP655363 NTF655363:NTL655363 ODB655363:ODH655363 OMX655363:OND655363 OWT655363:OWZ655363 PGP655363:PGV655363 PQL655363:PQR655363 QAH655363:QAN655363 QKD655363:QKJ655363 QTZ655363:QUF655363 RDV655363:REB655363 RNR655363:RNX655363 RXN655363:RXT655363 SHJ655363:SHP655363 SRF655363:SRL655363 TBB655363:TBH655363 TKX655363:TLD655363 TUT655363:TUZ655363 UEP655363:UEV655363 UOL655363:UOR655363 UYH655363:UYN655363 VID655363:VIJ655363 VRZ655363:VSF655363 WBV655363:WCB655363 WLR655363:WLX655363 WVN655363:WVT655363 JB720899:JH720899 SX720899:TD720899 ACT720899:ACZ720899 AMP720899:AMV720899 AWL720899:AWR720899 BGH720899:BGN720899 BQD720899:BQJ720899 BZZ720899:CAF720899 CJV720899:CKB720899 CTR720899:CTX720899 DDN720899:DDT720899 DNJ720899:DNP720899 DXF720899:DXL720899 EHB720899:EHH720899 EQX720899:ERD720899 FAT720899:FAZ720899 FKP720899:FKV720899 FUL720899:FUR720899 GEH720899:GEN720899 GOD720899:GOJ720899 GXZ720899:GYF720899 HHV720899:HIB720899 HRR720899:HRX720899 IBN720899:IBT720899 ILJ720899:ILP720899 IVF720899:IVL720899 JFB720899:JFH720899 JOX720899:JPD720899 JYT720899:JYZ720899 KIP720899:KIV720899 KSL720899:KSR720899 LCH720899:LCN720899 LMD720899:LMJ720899 LVZ720899:LWF720899 MFV720899:MGB720899 MPR720899:MPX720899 MZN720899:MZT720899 NJJ720899:NJP720899 NTF720899:NTL720899 ODB720899:ODH720899 OMX720899:OND720899 OWT720899:OWZ720899 PGP720899:PGV720899 PQL720899:PQR720899 QAH720899:QAN720899 QKD720899:QKJ720899 QTZ720899:QUF720899 RDV720899:REB720899 RNR720899:RNX720899 RXN720899:RXT720899 SHJ720899:SHP720899 SRF720899:SRL720899 TBB720899:TBH720899 TKX720899:TLD720899 TUT720899:TUZ720899 UEP720899:UEV720899 UOL720899:UOR720899 UYH720899:UYN720899 VID720899:VIJ720899 VRZ720899:VSF720899 WBV720899:WCB720899 WLR720899:WLX720899 WVN720899:WVT720899 JB786435:JH786435 SX786435:TD786435 ACT786435:ACZ786435 AMP786435:AMV786435 AWL786435:AWR786435 BGH786435:BGN786435 BQD786435:BQJ786435 BZZ786435:CAF786435 CJV786435:CKB786435 CTR786435:CTX786435 DDN786435:DDT786435 DNJ786435:DNP786435 DXF786435:DXL786435 EHB786435:EHH786435 EQX786435:ERD786435 FAT786435:FAZ786435 FKP786435:FKV786435 FUL786435:FUR786435 GEH786435:GEN786435 GOD786435:GOJ786435 GXZ786435:GYF786435 HHV786435:HIB786435 HRR786435:HRX786435 IBN786435:IBT786435 ILJ786435:ILP786435 IVF786435:IVL786435 JFB786435:JFH786435 JOX786435:JPD786435 JYT786435:JYZ786435 KIP786435:KIV786435 KSL786435:KSR786435 LCH786435:LCN786435 LMD786435:LMJ786435 LVZ786435:LWF786435 MFV786435:MGB786435 MPR786435:MPX786435 MZN786435:MZT786435 NJJ786435:NJP786435 NTF786435:NTL786435 ODB786435:ODH786435 OMX786435:OND786435 OWT786435:OWZ786435 PGP786435:PGV786435 PQL786435:PQR786435 QAH786435:QAN786435 QKD786435:QKJ786435 QTZ786435:QUF786435 RDV786435:REB786435 RNR786435:RNX786435 RXN786435:RXT786435 SHJ786435:SHP786435 SRF786435:SRL786435 TBB786435:TBH786435 TKX786435:TLD786435 TUT786435:TUZ786435 UEP786435:UEV786435 UOL786435:UOR786435 UYH786435:UYN786435 VID786435:VIJ786435 VRZ786435:VSF786435 WBV786435:WCB786435 WLR786435:WLX786435 WVN786435:WVT786435 JB851971:JH851971 SX851971:TD851971 ACT851971:ACZ851971 AMP851971:AMV851971 AWL851971:AWR851971 BGH851971:BGN851971 BQD851971:BQJ851971 BZZ851971:CAF851971 CJV851971:CKB851971 CTR851971:CTX851971 DDN851971:DDT851971 DNJ851971:DNP851971 DXF851971:DXL851971 EHB851971:EHH851971 EQX851971:ERD851971 FAT851971:FAZ851971 FKP851971:FKV851971 FUL851971:FUR851971 GEH851971:GEN851971 GOD851971:GOJ851971 GXZ851971:GYF851971 HHV851971:HIB851971 HRR851971:HRX851971 IBN851971:IBT851971 ILJ851971:ILP851971 IVF851971:IVL851971 JFB851971:JFH851971 JOX851971:JPD851971 JYT851971:JYZ851971 KIP851971:KIV851971 KSL851971:KSR851971 LCH851971:LCN851971 LMD851971:LMJ851971 LVZ851971:LWF851971 MFV851971:MGB851971 MPR851971:MPX851971 MZN851971:MZT851971 NJJ851971:NJP851971 NTF851971:NTL851971 ODB851971:ODH851971 OMX851971:OND851971 OWT851971:OWZ851971 PGP851971:PGV851971 PQL851971:PQR851971 QAH851971:QAN851971 QKD851971:QKJ851971 QTZ851971:QUF851971 RDV851971:REB851971 RNR851971:RNX851971 RXN851971:RXT851971 SHJ851971:SHP851971 SRF851971:SRL851971 TBB851971:TBH851971 TKX851971:TLD851971 TUT851971:TUZ851971 UEP851971:UEV851971 UOL851971:UOR851971 UYH851971:UYN851971 VID851971:VIJ851971 VRZ851971:VSF851971 WBV851971:WCB851971 WLR851971:WLX851971 WVN851971:WVT851971 JB917507:JH917507 SX917507:TD917507 ACT917507:ACZ917507 AMP917507:AMV917507 AWL917507:AWR917507 BGH917507:BGN917507 BQD917507:BQJ917507 BZZ917507:CAF917507 CJV917507:CKB917507 CTR917507:CTX917507 DDN917507:DDT917507 DNJ917507:DNP917507 DXF917507:DXL917507 EHB917507:EHH917507 EQX917507:ERD917507 FAT917507:FAZ917507 FKP917507:FKV917507 FUL917507:FUR917507 GEH917507:GEN917507 GOD917507:GOJ917507 GXZ917507:GYF917507 HHV917507:HIB917507 HRR917507:HRX917507 IBN917507:IBT917507 ILJ917507:ILP917507 IVF917507:IVL917507 JFB917507:JFH917507 JOX917507:JPD917507 JYT917507:JYZ917507 KIP917507:KIV917507 KSL917507:KSR917507 LCH917507:LCN917507 LMD917507:LMJ917507 LVZ917507:LWF917507 MFV917507:MGB917507 MPR917507:MPX917507 MZN917507:MZT917507 NJJ917507:NJP917507 NTF917507:NTL917507 ODB917507:ODH917507 OMX917507:OND917507 OWT917507:OWZ917507 PGP917507:PGV917507 PQL917507:PQR917507 QAH917507:QAN917507 QKD917507:QKJ917507 QTZ917507:QUF917507 RDV917507:REB917507 RNR917507:RNX917507 RXN917507:RXT917507 SHJ917507:SHP917507 SRF917507:SRL917507 TBB917507:TBH917507 TKX917507:TLD917507 TUT917507:TUZ917507 UEP917507:UEV917507 UOL917507:UOR917507 UYH917507:UYN917507 VID917507:VIJ917507 VRZ917507:VSF917507 WBV917507:WCB917507 WLR917507:WLX917507 WVN917507:WVT917507 JB983043:JH983043 SX983043:TD983043 ACT983043:ACZ983043 AMP983043:AMV983043 AWL983043:AWR983043 BGH983043:BGN983043 BQD983043:BQJ983043 BZZ983043:CAF983043 CJV983043:CKB983043 CTR983043:CTX983043 DDN983043:DDT983043 DNJ983043:DNP983043 DXF983043:DXL983043 EHB983043:EHH983043 EQX983043:ERD983043 FAT983043:FAZ983043 FKP983043:FKV983043 FUL983043:FUR983043 GEH983043:GEN983043 GOD983043:GOJ983043 GXZ983043:GYF983043 HHV983043:HIB983043 HRR983043:HRX983043 IBN983043:IBT983043 ILJ983043:ILP983043 IVF983043:IVL983043 JFB983043:JFH983043 JOX983043:JPD983043 JYT983043:JYZ983043 KIP983043:KIV983043 KSL983043:KSR983043 LCH983043:LCN983043 LMD983043:LMJ983043 LVZ983043:LWF983043 MFV983043:MGB983043 MPR983043:MPX983043 MZN983043:MZT983043 NJJ983043:NJP983043 NTF983043:NTL983043 ODB983043:ODH983043 OMX983043:OND983043 OWT983043:OWZ983043 PGP983043:PGV983043 PQL983043:PQR983043 QAH983043:QAN983043 QKD983043:QKJ983043 QTZ983043:QUF983043 RDV983043:REB983043 RNR983043:RNX983043 RXN983043:RXT983043 SHJ983043:SHP983043 SRF983043:SRL983043 TBB983043:TBH983043 TKX983043:TLD983043 TUT983043:TUZ983043 UEP983043:UEV983043 UOL983043:UOR983043 UYH983043:UYN983043 VID983043:VIJ983043 VRZ983043:VSF983043 WBV983043:WCB983043 WLR983043:WLX983043 C983042:J983042 C917506:J917506 C851970:J851970 C786434:J786434 C720898:J720898 C655362:J655362 C589826:J589826 C524290:J524290 C458754:J458754 C393218:J393218 C327682:J327682 C262146:J262146 C196610:J196610 C131074:J131074">
      <formula1>$O$3:$O$5</formula1>
    </dataValidation>
    <dataValidation type="list" allowBlank="1" showInputMessage="1" showErrorMessage="1" sqref="B4">
      <formula1>$X$4:$X$14</formula1>
    </dataValidation>
    <dataValidation type="list" allowBlank="1" showInputMessage="1" showErrorMessage="1" sqref="B3">
      <formula1>$AB$21:$AB$23</formula1>
    </dataValidation>
  </dataValidations>
  <printOptions horizontalCentered="1"/>
  <pageMargins left="0.39370078740157483" right="0.39370078740157483" top="0.43307086614173229" bottom="0.59055118110236227" header="0.51181102362204722" footer="0.39370078740157483"/>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sheetPr>
    <tabColor rgb="FF0070C0"/>
  </sheetPr>
  <dimension ref="A1:AB31"/>
  <sheetViews>
    <sheetView tabSelected="1" view="pageBreakPreview" topLeftCell="A13" zoomScaleSheetLayoutView="100" workbookViewId="0">
      <selection activeCell="C32" sqref="C32"/>
    </sheetView>
  </sheetViews>
  <sheetFormatPr defaultRowHeight="20.100000000000001" customHeight="1"/>
  <cols>
    <col min="1" max="1" width="7.375" style="545" customWidth="1"/>
    <col min="2" max="2" width="8.625" style="545" customWidth="1"/>
    <col min="3" max="3" width="33.625" style="545" customWidth="1"/>
    <col min="4" max="5" width="16.25" style="545" customWidth="1"/>
    <col min="6" max="6" width="11.625" style="545" customWidth="1"/>
    <col min="7" max="7" width="8.5" style="545" customWidth="1"/>
    <col min="8" max="8" width="9.75" style="545" customWidth="1"/>
    <col min="9" max="9" width="14.625" style="545" customWidth="1"/>
    <col min="10" max="10" width="7.375" style="545" customWidth="1"/>
    <col min="11" max="11" width="4.75" style="545" customWidth="1"/>
    <col min="12" max="12" width="7.5" style="545" customWidth="1"/>
    <col min="13" max="13" width="4.875" style="545" customWidth="1"/>
    <col min="14" max="14" width="8.5" style="546" customWidth="1"/>
    <col min="15" max="15" width="16.25" style="550" customWidth="1"/>
    <col min="16" max="16" width="9.25" style="550" customWidth="1"/>
    <col min="17" max="17" width="9.5" style="545" bestFit="1" customWidth="1"/>
    <col min="18" max="18" width="9.875" style="545" customWidth="1"/>
    <col min="19" max="19" width="10" style="545" customWidth="1"/>
    <col min="20" max="20" width="13.5" style="545" customWidth="1"/>
    <col min="21" max="21" width="6.625" style="545" customWidth="1"/>
    <col min="22" max="22" width="6.5" style="545" customWidth="1"/>
    <col min="23" max="23" width="9" style="545"/>
    <col min="24" max="24" width="8.5" style="545" customWidth="1"/>
    <col min="25" max="25" width="6.375" style="545" customWidth="1"/>
    <col min="26" max="26" width="5.75" style="545" customWidth="1"/>
    <col min="27" max="27" width="12.625" style="545" customWidth="1"/>
    <col min="28" max="28" width="8.375" style="546" customWidth="1"/>
    <col min="29" max="29" width="24.875" style="545" customWidth="1"/>
    <col min="30" max="30" width="9" style="545"/>
    <col min="31" max="31" width="37.5" style="545" customWidth="1"/>
    <col min="32" max="248" width="9" style="545"/>
    <col min="249" max="250" width="3.75" style="545" customWidth="1"/>
    <col min="251" max="251" width="3.5" style="545" customWidth="1"/>
    <col min="252" max="252" width="3.875" style="545" customWidth="1"/>
    <col min="253" max="254" width="7.625" style="545" customWidth="1"/>
    <col min="255" max="255" width="6.375" style="545" customWidth="1"/>
    <col min="256" max="256" width="6.25" style="545" customWidth="1"/>
    <col min="257" max="257" width="6.625" style="545" customWidth="1"/>
    <col min="258" max="258" width="4.875" style="545" customWidth="1"/>
    <col min="259" max="259" width="4.75" style="545" customWidth="1"/>
    <col min="260" max="260" width="6.75" style="545" customWidth="1"/>
    <col min="261" max="261" width="0" style="545" hidden="1" customWidth="1"/>
    <col min="262" max="262" width="4.375" style="545" customWidth="1"/>
    <col min="263" max="263" width="5.625" style="545" customWidth="1"/>
    <col min="264" max="264" width="5.375" style="545" customWidth="1"/>
    <col min="265" max="265" width="6.875" style="545" customWidth="1"/>
    <col min="266" max="266" width="5.125" style="545" customWidth="1"/>
    <col min="267" max="267" width="4.75" style="545" customWidth="1"/>
    <col min="268" max="268" width="5.625" style="545" customWidth="1"/>
    <col min="269" max="269" width="4.875" style="545" customWidth="1"/>
    <col min="270" max="270" width="5.25" style="545" customWidth="1"/>
    <col min="271" max="271" width="16.25" style="545" customWidth="1"/>
    <col min="272" max="272" width="9.25" style="545" customWidth="1"/>
    <col min="273" max="273" width="9.5" style="545" bestFit="1" customWidth="1"/>
    <col min="274" max="274" width="9.875" style="545" customWidth="1"/>
    <col min="275" max="276" width="10" style="545" customWidth="1"/>
    <col min="277" max="277" width="6.625" style="545" customWidth="1"/>
    <col min="278" max="278" width="6.5" style="545" customWidth="1"/>
    <col min="279" max="279" width="9" style="545"/>
    <col min="280" max="280" width="8.5" style="545" customWidth="1"/>
    <col min="281" max="281" width="6.375" style="545" customWidth="1"/>
    <col min="282" max="282" width="5.75" style="545" customWidth="1"/>
    <col min="283" max="283" width="12.625" style="545" customWidth="1"/>
    <col min="284" max="284" width="8.375" style="545" customWidth="1"/>
    <col min="285" max="285" width="24.875" style="545" customWidth="1"/>
    <col min="286" max="286" width="9" style="545"/>
    <col min="287" max="287" width="37.5" style="545" customWidth="1"/>
    <col min="288" max="504" width="9" style="545"/>
    <col min="505" max="506" width="3.75" style="545" customWidth="1"/>
    <col min="507" max="507" width="3.5" style="545" customWidth="1"/>
    <col min="508" max="508" width="3.875" style="545" customWidth="1"/>
    <col min="509" max="510" width="7.625" style="545" customWidth="1"/>
    <col min="511" max="511" width="6.375" style="545" customWidth="1"/>
    <col min="512" max="512" width="6.25" style="545" customWidth="1"/>
    <col min="513" max="513" width="6.625" style="545" customWidth="1"/>
    <col min="514" max="514" width="4.875" style="545" customWidth="1"/>
    <col min="515" max="515" width="4.75" style="545" customWidth="1"/>
    <col min="516" max="516" width="6.75" style="545" customWidth="1"/>
    <col min="517" max="517" width="0" style="545" hidden="1" customWidth="1"/>
    <col min="518" max="518" width="4.375" style="545" customWidth="1"/>
    <col min="519" max="519" width="5.625" style="545" customWidth="1"/>
    <col min="520" max="520" width="5.375" style="545" customWidth="1"/>
    <col min="521" max="521" width="6.875" style="545" customWidth="1"/>
    <col min="522" max="522" width="5.125" style="545" customWidth="1"/>
    <col min="523" max="523" width="4.75" style="545" customWidth="1"/>
    <col min="524" max="524" width="5.625" style="545" customWidth="1"/>
    <col min="525" max="525" width="4.875" style="545" customWidth="1"/>
    <col min="526" max="526" width="5.25" style="545" customWidth="1"/>
    <col min="527" max="527" width="16.25" style="545" customWidth="1"/>
    <col min="528" max="528" width="9.25" style="545" customWidth="1"/>
    <col min="529" max="529" width="9.5" style="545" bestFit="1" customWidth="1"/>
    <col min="530" max="530" width="9.875" style="545" customWidth="1"/>
    <col min="531" max="532" width="10" style="545" customWidth="1"/>
    <col min="533" max="533" width="6.625" style="545" customWidth="1"/>
    <col min="534" max="534" width="6.5" style="545" customWidth="1"/>
    <col min="535" max="535" width="9" style="545"/>
    <col min="536" max="536" width="8.5" style="545" customWidth="1"/>
    <col min="537" max="537" width="6.375" style="545" customWidth="1"/>
    <col min="538" max="538" width="5.75" style="545" customWidth="1"/>
    <col min="539" max="539" width="12.625" style="545" customWidth="1"/>
    <col min="540" max="540" width="8.375" style="545" customWidth="1"/>
    <col min="541" max="541" width="24.875" style="545" customWidth="1"/>
    <col min="542" max="542" width="9" style="545"/>
    <col min="543" max="543" width="37.5" style="545" customWidth="1"/>
    <col min="544" max="760" width="9" style="545"/>
    <col min="761" max="762" width="3.75" style="545" customWidth="1"/>
    <col min="763" max="763" width="3.5" style="545" customWidth="1"/>
    <col min="764" max="764" width="3.875" style="545" customWidth="1"/>
    <col min="765" max="766" width="7.625" style="545" customWidth="1"/>
    <col min="767" max="767" width="6.375" style="545" customWidth="1"/>
    <col min="768" max="768" width="6.25" style="545" customWidth="1"/>
    <col min="769" max="769" width="6.625" style="545" customWidth="1"/>
    <col min="770" max="770" width="4.875" style="545" customWidth="1"/>
    <col min="771" max="771" width="4.75" style="545" customWidth="1"/>
    <col min="772" max="772" width="6.75" style="545" customWidth="1"/>
    <col min="773" max="773" width="0" style="545" hidden="1" customWidth="1"/>
    <col min="774" max="774" width="4.375" style="545" customWidth="1"/>
    <col min="775" max="775" width="5.625" style="545" customWidth="1"/>
    <col min="776" max="776" width="5.375" style="545" customWidth="1"/>
    <col min="777" max="777" width="6.875" style="545" customWidth="1"/>
    <col min="778" max="778" width="5.125" style="545" customWidth="1"/>
    <col min="779" max="779" width="4.75" style="545" customWidth="1"/>
    <col min="780" max="780" width="5.625" style="545" customWidth="1"/>
    <col min="781" max="781" width="4.875" style="545" customWidth="1"/>
    <col min="782" max="782" width="5.25" style="545" customWidth="1"/>
    <col min="783" max="783" width="16.25" style="545" customWidth="1"/>
    <col min="784" max="784" width="9.25" style="545" customWidth="1"/>
    <col min="785" max="785" width="9.5" style="545" bestFit="1" customWidth="1"/>
    <col min="786" max="786" width="9.875" style="545" customWidth="1"/>
    <col min="787" max="788" width="10" style="545" customWidth="1"/>
    <col min="789" max="789" width="6.625" style="545" customWidth="1"/>
    <col min="790" max="790" width="6.5" style="545" customWidth="1"/>
    <col min="791" max="791" width="9" style="545"/>
    <col min="792" max="792" width="8.5" style="545" customWidth="1"/>
    <col min="793" max="793" width="6.375" style="545" customWidth="1"/>
    <col min="794" max="794" width="5.75" style="545" customWidth="1"/>
    <col min="795" max="795" width="12.625" style="545" customWidth="1"/>
    <col min="796" max="796" width="8.375" style="545" customWidth="1"/>
    <col min="797" max="797" width="24.875" style="545" customWidth="1"/>
    <col min="798" max="798" width="9" style="545"/>
    <col min="799" max="799" width="37.5" style="545" customWidth="1"/>
    <col min="800" max="1016" width="9" style="545"/>
    <col min="1017" max="1018" width="3.75" style="545" customWidth="1"/>
    <col min="1019" max="1019" width="3.5" style="545" customWidth="1"/>
    <col min="1020" max="1020" width="3.875" style="545" customWidth="1"/>
    <col min="1021" max="1022" width="7.625" style="545" customWidth="1"/>
    <col min="1023" max="1023" width="6.375" style="545" customWidth="1"/>
    <col min="1024" max="1024" width="6.25" style="545" customWidth="1"/>
    <col min="1025" max="1025" width="6.625" style="545" customWidth="1"/>
    <col min="1026" max="1026" width="4.875" style="545" customWidth="1"/>
    <col min="1027" max="1027" width="4.75" style="545" customWidth="1"/>
    <col min="1028" max="1028" width="6.75" style="545" customWidth="1"/>
    <col min="1029" max="1029" width="0" style="545" hidden="1" customWidth="1"/>
    <col min="1030" max="1030" width="4.375" style="545" customWidth="1"/>
    <col min="1031" max="1031" width="5.625" style="545" customWidth="1"/>
    <col min="1032" max="1032" width="5.375" style="545" customWidth="1"/>
    <col min="1033" max="1033" width="6.875" style="545" customWidth="1"/>
    <col min="1034" max="1034" width="5.125" style="545" customWidth="1"/>
    <col min="1035" max="1035" width="4.75" style="545" customWidth="1"/>
    <col min="1036" max="1036" width="5.625" style="545" customWidth="1"/>
    <col min="1037" max="1037" width="4.875" style="545" customWidth="1"/>
    <col min="1038" max="1038" width="5.25" style="545" customWidth="1"/>
    <col min="1039" max="1039" width="16.25" style="545" customWidth="1"/>
    <col min="1040" max="1040" width="9.25" style="545" customWidth="1"/>
    <col min="1041" max="1041" width="9.5" style="545" bestFit="1" customWidth="1"/>
    <col min="1042" max="1042" width="9.875" style="545" customWidth="1"/>
    <col min="1043" max="1044" width="10" style="545" customWidth="1"/>
    <col min="1045" max="1045" width="6.625" style="545" customWidth="1"/>
    <col min="1046" max="1046" width="6.5" style="545" customWidth="1"/>
    <col min="1047" max="1047" width="9" style="545"/>
    <col min="1048" max="1048" width="8.5" style="545" customWidth="1"/>
    <col min="1049" max="1049" width="6.375" style="545" customWidth="1"/>
    <col min="1050" max="1050" width="5.75" style="545" customWidth="1"/>
    <col min="1051" max="1051" width="12.625" style="545" customWidth="1"/>
    <col min="1052" max="1052" width="8.375" style="545" customWidth="1"/>
    <col min="1053" max="1053" width="24.875" style="545" customWidth="1"/>
    <col min="1054" max="1054" width="9" style="545"/>
    <col min="1055" max="1055" width="37.5" style="545" customWidth="1"/>
    <col min="1056" max="1272" width="9" style="545"/>
    <col min="1273" max="1274" width="3.75" style="545" customWidth="1"/>
    <col min="1275" max="1275" width="3.5" style="545" customWidth="1"/>
    <col min="1276" max="1276" width="3.875" style="545" customWidth="1"/>
    <col min="1277" max="1278" width="7.625" style="545" customWidth="1"/>
    <col min="1279" max="1279" width="6.375" style="545" customWidth="1"/>
    <col min="1280" max="1280" width="6.25" style="545" customWidth="1"/>
    <col min="1281" max="1281" width="6.625" style="545" customWidth="1"/>
    <col min="1282" max="1282" width="4.875" style="545" customWidth="1"/>
    <col min="1283" max="1283" width="4.75" style="545" customWidth="1"/>
    <col min="1284" max="1284" width="6.75" style="545" customWidth="1"/>
    <col min="1285" max="1285" width="0" style="545" hidden="1" customWidth="1"/>
    <col min="1286" max="1286" width="4.375" style="545" customWidth="1"/>
    <col min="1287" max="1287" width="5.625" style="545" customWidth="1"/>
    <col min="1288" max="1288" width="5.375" style="545" customWidth="1"/>
    <col min="1289" max="1289" width="6.875" style="545" customWidth="1"/>
    <col min="1290" max="1290" width="5.125" style="545" customWidth="1"/>
    <col min="1291" max="1291" width="4.75" style="545" customWidth="1"/>
    <col min="1292" max="1292" width="5.625" style="545" customWidth="1"/>
    <col min="1293" max="1293" width="4.875" style="545" customWidth="1"/>
    <col min="1294" max="1294" width="5.25" style="545" customWidth="1"/>
    <col min="1295" max="1295" width="16.25" style="545" customWidth="1"/>
    <col min="1296" max="1296" width="9.25" style="545" customWidth="1"/>
    <col min="1297" max="1297" width="9.5" style="545" bestFit="1" customWidth="1"/>
    <col min="1298" max="1298" width="9.875" style="545" customWidth="1"/>
    <col min="1299" max="1300" width="10" style="545" customWidth="1"/>
    <col min="1301" max="1301" width="6.625" style="545" customWidth="1"/>
    <col min="1302" max="1302" width="6.5" style="545" customWidth="1"/>
    <col min="1303" max="1303" width="9" style="545"/>
    <col min="1304" max="1304" width="8.5" style="545" customWidth="1"/>
    <col min="1305" max="1305" width="6.375" style="545" customWidth="1"/>
    <col min="1306" max="1306" width="5.75" style="545" customWidth="1"/>
    <col min="1307" max="1307" width="12.625" style="545" customWidth="1"/>
    <col min="1308" max="1308" width="8.375" style="545" customWidth="1"/>
    <col min="1309" max="1309" width="24.875" style="545" customWidth="1"/>
    <col min="1310" max="1310" width="9" style="545"/>
    <col min="1311" max="1311" width="37.5" style="545" customWidth="1"/>
    <col min="1312" max="1528" width="9" style="545"/>
    <col min="1529" max="1530" width="3.75" style="545" customWidth="1"/>
    <col min="1531" max="1531" width="3.5" style="545" customWidth="1"/>
    <col min="1532" max="1532" width="3.875" style="545" customWidth="1"/>
    <col min="1533" max="1534" width="7.625" style="545" customWidth="1"/>
    <col min="1535" max="1535" width="6.375" style="545" customWidth="1"/>
    <col min="1536" max="1536" width="6.25" style="545" customWidth="1"/>
    <col min="1537" max="1537" width="6.625" style="545" customWidth="1"/>
    <col min="1538" max="1538" width="4.875" style="545" customWidth="1"/>
    <col min="1539" max="1539" width="4.75" style="545" customWidth="1"/>
    <col min="1540" max="1540" width="6.75" style="545" customWidth="1"/>
    <col min="1541" max="1541" width="0" style="545" hidden="1" customWidth="1"/>
    <col min="1542" max="1542" width="4.375" style="545" customWidth="1"/>
    <col min="1543" max="1543" width="5.625" style="545" customWidth="1"/>
    <col min="1544" max="1544" width="5.375" style="545" customWidth="1"/>
    <col min="1545" max="1545" width="6.875" style="545" customWidth="1"/>
    <col min="1546" max="1546" width="5.125" style="545" customWidth="1"/>
    <col min="1547" max="1547" width="4.75" style="545" customWidth="1"/>
    <col min="1548" max="1548" width="5.625" style="545" customWidth="1"/>
    <col min="1549" max="1549" width="4.875" style="545" customWidth="1"/>
    <col min="1550" max="1550" width="5.25" style="545" customWidth="1"/>
    <col min="1551" max="1551" width="16.25" style="545" customWidth="1"/>
    <col min="1552" max="1552" width="9.25" style="545" customWidth="1"/>
    <col min="1553" max="1553" width="9.5" style="545" bestFit="1" customWidth="1"/>
    <col min="1554" max="1554" width="9.875" style="545" customWidth="1"/>
    <col min="1555" max="1556" width="10" style="545" customWidth="1"/>
    <col min="1557" max="1557" width="6.625" style="545" customWidth="1"/>
    <col min="1558" max="1558" width="6.5" style="545" customWidth="1"/>
    <col min="1559" max="1559" width="9" style="545"/>
    <col min="1560" max="1560" width="8.5" style="545" customWidth="1"/>
    <col min="1561" max="1561" width="6.375" style="545" customWidth="1"/>
    <col min="1562" max="1562" width="5.75" style="545" customWidth="1"/>
    <col min="1563" max="1563" width="12.625" style="545" customWidth="1"/>
    <col min="1564" max="1564" width="8.375" style="545" customWidth="1"/>
    <col min="1565" max="1565" width="24.875" style="545" customWidth="1"/>
    <col min="1566" max="1566" width="9" style="545"/>
    <col min="1567" max="1567" width="37.5" style="545" customWidth="1"/>
    <col min="1568" max="1784" width="9" style="545"/>
    <col min="1785" max="1786" width="3.75" style="545" customWidth="1"/>
    <col min="1787" max="1787" width="3.5" style="545" customWidth="1"/>
    <col min="1788" max="1788" width="3.875" style="545" customWidth="1"/>
    <col min="1789" max="1790" width="7.625" style="545" customWidth="1"/>
    <col min="1791" max="1791" width="6.375" style="545" customWidth="1"/>
    <col min="1792" max="1792" width="6.25" style="545" customWidth="1"/>
    <col min="1793" max="1793" width="6.625" style="545" customWidth="1"/>
    <col min="1794" max="1794" width="4.875" style="545" customWidth="1"/>
    <col min="1795" max="1795" width="4.75" style="545" customWidth="1"/>
    <col min="1796" max="1796" width="6.75" style="545" customWidth="1"/>
    <col min="1797" max="1797" width="0" style="545" hidden="1" customWidth="1"/>
    <col min="1798" max="1798" width="4.375" style="545" customWidth="1"/>
    <col min="1799" max="1799" width="5.625" style="545" customWidth="1"/>
    <col min="1800" max="1800" width="5.375" style="545" customWidth="1"/>
    <col min="1801" max="1801" width="6.875" style="545" customWidth="1"/>
    <col min="1802" max="1802" width="5.125" style="545" customWidth="1"/>
    <col min="1803" max="1803" width="4.75" style="545" customWidth="1"/>
    <col min="1804" max="1804" width="5.625" style="545" customWidth="1"/>
    <col min="1805" max="1805" width="4.875" style="545" customWidth="1"/>
    <col min="1806" max="1806" width="5.25" style="545" customWidth="1"/>
    <col min="1807" max="1807" width="16.25" style="545" customWidth="1"/>
    <col min="1808" max="1808" width="9.25" style="545" customWidth="1"/>
    <col min="1809" max="1809" width="9.5" style="545" bestFit="1" customWidth="1"/>
    <col min="1810" max="1810" width="9.875" style="545" customWidth="1"/>
    <col min="1811" max="1812" width="10" style="545" customWidth="1"/>
    <col min="1813" max="1813" width="6.625" style="545" customWidth="1"/>
    <col min="1814" max="1814" width="6.5" style="545" customWidth="1"/>
    <col min="1815" max="1815" width="9" style="545"/>
    <col min="1816" max="1816" width="8.5" style="545" customWidth="1"/>
    <col min="1817" max="1817" width="6.375" style="545" customWidth="1"/>
    <col min="1818" max="1818" width="5.75" style="545" customWidth="1"/>
    <col min="1819" max="1819" width="12.625" style="545" customWidth="1"/>
    <col min="1820" max="1820" width="8.375" style="545" customWidth="1"/>
    <col min="1821" max="1821" width="24.875" style="545" customWidth="1"/>
    <col min="1822" max="1822" width="9" style="545"/>
    <col min="1823" max="1823" width="37.5" style="545" customWidth="1"/>
    <col min="1824" max="2040" width="9" style="545"/>
    <col min="2041" max="2042" width="3.75" style="545" customWidth="1"/>
    <col min="2043" max="2043" width="3.5" style="545" customWidth="1"/>
    <col min="2044" max="2044" width="3.875" style="545" customWidth="1"/>
    <col min="2045" max="2046" width="7.625" style="545" customWidth="1"/>
    <col min="2047" max="2047" width="6.375" style="545" customWidth="1"/>
    <col min="2048" max="2048" width="6.25" style="545" customWidth="1"/>
    <col min="2049" max="2049" width="6.625" style="545" customWidth="1"/>
    <col min="2050" max="2050" width="4.875" style="545" customWidth="1"/>
    <col min="2051" max="2051" width="4.75" style="545" customWidth="1"/>
    <col min="2052" max="2052" width="6.75" style="545" customWidth="1"/>
    <col min="2053" max="2053" width="0" style="545" hidden="1" customWidth="1"/>
    <col min="2054" max="2054" width="4.375" style="545" customWidth="1"/>
    <col min="2055" max="2055" width="5.625" style="545" customWidth="1"/>
    <col min="2056" max="2056" width="5.375" style="545" customWidth="1"/>
    <col min="2057" max="2057" width="6.875" style="545" customWidth="1"/>
    <col min="2058" max="2058" width="5.125" style="545" customWidth="1"/>
    <col min="2059" max="2059" width="4.75" style="545" customWidth="1"/>
    <col min="2060" max="2060" width="5.625" style="545" customWidth="1"/>
    <col min="2061" max="2061" width="4.875" style="545" customWidth="1"/>
    <col min="2062" max="2062" width="5.25" style="545" customWidth="1"/>
    <col min="2063" max="2063" width="16.25" style="545" customWidth="1"/>
    <col min="2064" max="2064" width="9.25" style="545" customWidth="1"/>
    <col min="2065" max="2065" width="9.5" style="545" bestFit="1" customWidth="1"/>
    <col min="2066" max="2066" width="9.875" style="545" customWidth="1"/>
    <col min="2067" max="2068" width="10" style="545" customWidth="1"/>
    <col min="2069" max="2069" width="6.625" style="545" customWidth="1"/>
    <col min="2070" max="2070" width="6.5" style="545" customWidth="1"/>
    <col min="2071" max="2071" width="9" style="545"/>
    <col min="2072" max="2072" width="8.5" style="545" customWidth="1"/>
    <col min="2073" max="2073" width="6.375" style="545" customWidth="1"/>
    <col min="2074" max="2074" width="5.75" style="545" customWidth="1"/>
    <col min="2075" max="2075" width="12.625" style="545" customWidth="1"/>
    <col min="2076" max="2076" width="8.375" style="545" customWidth="1"/>
    <col min="2077" max="2077" width="24.875" style="545" customWidth="1"/>
    <col min="2078" max="2078" width="9" style="545"/>
    <col min="2079" max="2079" width="37.5" style="545" customWidth="1"/>
    <col min="2080" max="2296" width="9" style="545"/>
    <col min="2297" max="2298" width="3.75" style="545" customWidth="1"/>
    <col min="2299" max="2299" width="3.5" style="545" customWidth="1"/>
    <col min="2300" max="2300" width="3.875" style="545" customWidth="1"/>
    <col min="2301" max="2302" width="7.625" style="545" customWidth="1"/>
    <col min="2303" max="2303" width="6.375" style="545" customWidth="1"/>
    <col min="2304" max="2304" width="6.25" style="545" customWidth="1"/>
    <col min="2305" max="2305" width="6.625" style="545" customWidth="1"/>
    <col min="2306" max="2306" width="4.875" style="545" customWidth="1"/>
    <col min="2307" max="2307" width="4.75" style="545" customWidth="1"/>
    <col min="2308" max="2308" width="6.75" style="545" customWidth="1"/>
    <col min="2309" max="2309" width="0" style="545" hidden="1" customWidth="1"/>
    <col min="2310" max="2310" width="4.375" style="545" customWidth="1"/>
    <col min="2311" max="2311" width="5.625" style="545" customWidth="1"/>
    <col min="2312" max="2312" width="5.375" style="545" customWidth="1"/>
    <col min="2313" max="2313" width="6.875" style="545" customWidth="1"/>
    <col min="2314" max="2314" width="5.125" style="545" customWidth="1"/>
    <col min="2315" max="2315" width="4.75" style="545" customWidth="1"/>
    <col min="2316" max="2316" width="5.625" style="545" customWidth="1"/>
    <col min="2317" max="2317" width="4.875" style="545" customWidth="1"/>
    <col min="2318" max="2318" width="5.25" style="545" customWidth="1"/>
    <col min="2319" max="2319" width="16.25" style="545" customWidth="1"/>
    <col min="2320" max="2320" width="9.25" style="545" customWidth="1"/>
    <col min="2321" max="2321" width="9.5" style="545" bestFit="1" customWidth="1"/>
    <col min="2322" max="2322" width="9.875" style="545" customWidth="1"/>
    <col min="2323" max="2324" width="10" style="545" customWidth="1"/>
    <col min="2325" max="2325" width="6.625" style="545" customWidth="1"/>
    <col min="2326" max="2326" width="6.5" style="545" customWidth="1"/>
    <col min="2327" max="2327" width="9" style="545"/>
    <col min="2328" max="2328" width="8.5" style="545" customWidth="1"/>
    <col min="2329" max="2329" width="6.375" style="545" customWidth="1"/>
    <col min="2330" max="2330" width="5.75" style="545" customWidth="1"/>
    <col min="2331" max="2331" width="12.625" style="545" customWidth="1"/>
    <col min="2332" max="2332" width="8.375" style="545" customWidth="1"/>
    <col min="2333" max="2333" width="24.875" style="545" customWidth="1"/>
    <col min="2334" max="2334" width="9" style="545"/>
    <col min="2335" max="2335" width="37.5" style="545" customWidth="1"/>
    <col min="2336" max="2552" width="9" style="545"/>
    <col min="2553" max="2554" width="3.75" style="545" customWidth="1"/>
    <col min="2555" max="2555" width="3.5" style="545" customWidth="1"/>
    <col min="2556" max="2556" width="3.875" style="545" customWidth="1"/>
    <col min="2557" max="2558" width="7.625" style="545" customWidth="1"/>
    <col min="2559" max="2559" width="6.375" style="545" customWidth="1"/>
    <col min="2560" max="2560" width="6.25" style="545" customWidth="1"/>
    <col min="2561" max="2561" width="6.625" style="545" customWidth="1"/>
    <col min="2562" max="2562" width="4.875" style="545" customWidth="1"/>
    <col min="2563" max="2563" width="4.75" style="545" customWidth="1"/>
    <col min="2564" max="2564" width="6.75" style="545" customWidth="1"/>
    <col min="2565" max="2565" width="0" style="545" hidden="1" customWidth="1"/>
    <col min="2566" max="2566" width="4.375" style="545" customWidth="1"/>
    <col min="2567" max="2567" width="5.625" style="545" customWidth="1"/>
    <col min="2568" max="2568" width="5.375" style="545" customWidth="1"/>
    <col min="2569" max="2569" width="6.875" style="545" customWidth="1"/>
    <col min="2570" max="2570" width="5.125" style="545" customWidth="1"/>
    <col min="2571" max="2571" width="4.75" style="545" customWidth="1"/>
    <col min="2572" max="2572" width="5.625" style="545" customWidth="1"/>
    <col min="2573" max="2573" width="4.875" style="545" customWidth="1"/>
    <col min="2574" max="2574" width="5.25" style="545" customWidth="1"/>
    <col min="2575" max="2575" width="16.25" style="545" customWidth="1"/>
    <col min="2576" max="2576" width="9.25" style="545" customWidth="1"/>
    <col min="2577" max="2577" width="9.5" style="545" bestFit="1" customWidth="1"/>
    <col min="2578" max="2578" width="9.875" style="545" customWidth="1"/>
    <col min="2579" max="2580" width="10" style="545" customWidth="1"/>
    <col min="2581" max="2581" width="6.625" style="545" customWidth="1"/>
    <col min="2582" max="2582" width="6.5" style="545" customWidth="1"/>
    <col min="2583" max="2583" width="9" style="545"/>
    <col min="2584" max="2584" width="8.5" style="545" customWidth="1"/>
    <col min="2585" max="2585" width="6.375" style="545" customWidth="1"/>
    <col min="2586" max="2586" width="5.75" style="545" customWidth="1"/>
    <col min="2587" max="2587" width="12.625" style="545" customWidth="1"/>
    <col min="2588" max="2588" width="8.375" style="545" customWidth="1"/>
    <col min="2589" max="2589" width="24.875" style="545" customWidth="1"/>
    <col min="2590" max="2590" width="9" style="545"/>
    <col min="2591" max="2591" width="37.5" style="545" customWidth="1"/>
    <col min="2592" max="2808" width="9" style="545"/>
    <col min="2809" max="2810" width="3.75" style="545" customWidth="1"/>
    <col min="2811" max="2811" width="3.5" style="545" customWidth="1"/>
    <col min="2812" max="2812" width="3.875" style="545" customWidth="1"/>
    <col min="2813" max="2814" width="7.625" style="545" customWidth="1"/>
    <col min="2815" max="2815" width="6.375" style="545" customWidth="1"/>
    <col min="2816" max="2816" width="6.25" style="545" customWidth="1"/>
    <col min="2817" max="2817" width="6.625" style="545" customWidth="1"/>
    <col min="2818" max="2818" width="4.875" style="545" customWidth="1"/>
    <col min="2819" max="2819" width="4.75" style="545" customWidth="1"/>
    <col min="2820" max="2820" width="6.75" style="545" customWidth="1"/>
    <col min="2821" max="2821" width="0" style="545" hidden="1" customWidth="1"/>
    <col min="2822" max="2822" width="4.375" style="545" customWidth="1"/>
    <col min="2823" max="2823" width="5.625" style="545" customWidth="1"/>
    <col min="2824" max="2824" width="5.375" style="545" customWidth="1"/>
    <col min="2825" max="2825" width="6.875" style="545" customWidth="1"/>
    <col min="2826" max="2826" width="5.125" style="545" customWidth="1"/>
    <col min="2827" max="2827" width="4.75" style="545" customWidth="1"/>
    <col min="2828" max="2828" width="5.625" style="545" customWidth="1"/>
    <col min="2829" max="2829" width="4.875" style="545" customWidth="1"/>
    <col min="2830" max="2830" width="5.25" style="545" customWidth="1"/>
    <col min="2831" max="2831" width="16.25" style="545" customWidth="1"/>
    <col min="2832" max="2832" width="9.25" style="545" customWidth="1"/>
    <col min="2833" max="2833" width="9.5" style="545" bestFit="1" customWidth="1"/>
    <col min="2834" max="2834" width="9.875" style="545" customWidth="1"/>
    <col min="2835" max="2836" width="10" style="545" customWidth="1"/>
    <col min="2837" max="2837" width="6.625" style="545" customWidth="1"/>
    <col min="2838" max="2838" width="6.5" style="545" customWidth="1"/>
    <col min="2839" max="2839" width="9" style="545"/>
    <col min="2840" max="2840" width="8.5" style="545" customWidth="1"/>
    <col min="2841" max="2841" width="6.375" style="545" customWidth="1"/>
    <col min="2842" max="2842" width="5.75" style="545" customWidth="1"/>
    <col min="2843" max="2843" width="12.625" style="545" customWidth="1"/>
    <col min="2844" max="2844" width="8.375" style="545" customWidth="1"/>
    <col min="2845" max="2845" width="24.875" style="545" customWidth="1"/>
    <col min="2846" max="2846" width="9" style="545"/>
    <col min="2847" max="2847" width="37.5" style="545" customWidth="1"/>
    <col min="2848" max="3064" width="9" style="545"/>
    <col min="3065" max="3066" width="3.75" style="545" customWidth="1"/>
    <col min="3067" max="3067" width="3.5" style="545" customWidth="1"/>
    <col min="3068" max="3068" width="3.875" style="545" customWidth="1"/>
    <col min="3069" max="3070" width="7.625" style="545" customWidth="1"/>
    <col min="3071" max="3071" width="6.375" style="545" customWidth="1"/>
    <col min="3072" max="3072" width="6.25" style="545" customWidth="1"/>
    <col min="3073" max="3073" width="6.625" style="545" customWidth="1"/>
    <col min="3074" max="3074" width="4.875" style="545" customWidth="1"/>
    <col min="3075" max="3075" width="4.75" style="545" customWidth="1"/>
    <col min="3076" max="3076" width="6.75" style="545" customWidth="1"/>
    <col min="3077" max="3077" width="0" style="545" hidden="1" customWidth="1"/>
    <col min="3078" max="3078" width="4.375" style="545" customWidth="1"/>
    <col min="3079" max="3079" width="5.625" style="545" customWidth="1"/>
    <col min="3080" max="3080" width="5.375" style="545" customWidth="1"/>
    <col min="3081" max="3081" width="6.875" style="545" customWidth="1"/>
    <col min="3082" max="3082" width="5.125" style="545" customWidth="1"/>
    <col min="3083" max="3083" width="4.75" style="545" customWidth="1"/>
    <col min="3084" max="3084" width="5.625" style="545" customWidth="1"/>
    <col min="3085" max="3085" width="4.875" style="545" customWidth="1"/>
    <col min="3086" max="3086" width="5.25" style="545" customWidth="1"/>
    <col min="3087" max="3087" width="16.25" style="545" customWidth="1"/>
    <col min="3088" max="3088" width="9.25" style="545" customWidth="1"/>
    <col min="3089" max="3089" width="9.5" style="545" bestFit="1" customWidth="1"/>
    <col min="3090" max="3090" width="9.875" style="545" customWidth="1"/>
    <col min="3091" max="3092" width="10" style="545" customWidth="1"/>
    <col min="3093" max="3093" width="6.625" style="545" customWidth="1"/>
    <col min="3094" max="3094" width="6.5" style="545" customWidth="1"/>
    <col min="3095" max="3095" width="9" style="545"/>
    <col min="3096" max="3096" width="8.5" style="545" customWidth="1"/>
    <col min="3097" max="3097" width="6.375" style="545" customWidth="1"/>
    <col min="3098" max="3098" width="5.75" style="545" customWidth="1"/>
    <col min="3099" max="3099" width="12.625" style="545" customWidth="1"/>
    <col min="3100" max="3100" width="8.375" style="545" customWidth="1"/>
    <col min="3101" max="3101" width="24.875" style="545" customWidth="1"/>
    <col min="3102" max="3102" width="9" style="545"/>
    <col min="3103" max="3103" width="37.5" style="545" customWidth="1"/>
    <col min="3104" max="3320" width="9" style="545"/>
    <col min="3321" max="3322" width="3.75" style="545" customWidth="1"/>
    <col min="3323" max="3323" width="3.5" style="545" customWidth="1"/>
    <col min="3324" max="3324" width="3.875" style="545" customWidth="1"/>
    <col min="3325" max="3326" width="7.625" style="545" customWidth="1"/>
    <col min="3327" max="3327" width="6.375" style="545" customWidth="1"/>
    <col min="3328" max="3328" width="6.25" style="545" customWidth="1"/>
    <col min="3329" max="3329" width="6.625" style="545" customWidth="1"/>
    <col min="3330" max="3330" width="4.875" style="545" customWidth="1"/>
    <col min="3331" max="3331" width="4.75" style="545" customWidth="1"/>
    <col min="3332" max="3332" width="6.75" style="545" customWidth="1"/>
    <col min="3333" max="3333" width="0" style="545" hidden="1" customWidth="1"/>
    <col min="3334" max="3334" width="4.375" style="545" customWidth="1"/>
    <col min="3335" max="3335" width="5.625" style="545" customWidth="1"/>
    <col min="3336" max="3336" width="5.375" style="545" customWidth="1"/>
    <col min="3337" max="3337" width="6.875" style="545" customWidth="1"/>
    <col min="3338" max="3338" width="5.125" style="545" customWidth="1"/>
    <col min="3339" max="3339" width="4.75" style="545" customWidth="1"/>
    <col min="3340" max="3340" width="5.625" style="545" customWidth="1"/>
    <col min="3341" max="3341" width="4.875" style="545" customWidth="1"/>
    <col min="3342" max="3342" width="5.25" style="545" customWidth="1"/>
    <col min="3343" max="3343" width="16.25" style="545" customWidth="1"/>
    <col min="3344" max="3344" width="9.25" style="545" customWidth="1"/>
    <col min="3345" max="3345" width="9.5" style="545" bestFit="1" customWidth="1"/>
    <col min="3346" max="3346" width="9.875" style="545" customWidth="1"/>
    <col min="3347" max="3348" width="10" style="545" customWidth="1"/>
    <col min="3349" max="3349" width="6.625" style="545" customWidth="1"/>
    <col min="3350" max="3350" width="6.5" style="545" customWidth="1"/>
    <col min="3351" max="3351" width="9" style="545"/>
    <col min="3352" max="3352" width="8.5" style="545" customWidth="1"/>
    <col min="3353" max="3353" width="6.375" style="545" customWidth="1"/>
    <col min="3354" max="3354" width="5.75" style="545" customWidth="1"/>
    <col min="3355" max="3355" width="12.625" style="545" customWidth="1"/>
    <col min="3356" max="3356" width="8.375" style="545" customWidth="1"/>
    <col min="3357" max="3357" width="24.875" style="545" customWidth="1"/>
    <col min="3358" max="3358" width="9" style="545"/>
    <col min="3359" max="3359" width="37.5" style="545" customWidth="1"/>
    <col min="3360" max="3576" width="9" style="545"/>
    <col min="3577" max="3578" width="3.75" style="545" customWidth="1"/>
    <col min="3579" max="3579" width="3.5" style="545" customWidth="1"/>
    <col min="3580" max="3580" width="3.875" style="545" customWidth="1"/>
    <col min="3581" max="3582" width="7.625" style="545" customWidth="1"/>
    <col min="3583" max="3583" width="6.375" style="545" customWidth="1"/>
    <col min="3584" max="3584" width="6.25" style="545" customWidth="1"/>
    <col min="3585" max="3585" width="6.625" style="545" customWidth="1"/>
    <col min="3586" max="3586" width="4.875" style="545" customWidth="1"/>
    <col min="3587" max="3587" width="4.75" style="545" customWidth="1"/>
    <col min="3588" max="3588" width="6.75" style="545" customWidth="1"/>
    <col min="3589" max="3589" width="0" style="545" hidden="1" customWidth="1"/>
    <col min="3590" max="3590" width="4.375" style="545" customWidth="1"/>
    <col min="3591" max="3591" width="5.625" style="545" customWidth="1"/>
    <col min="3592" max="3592" width="5.375" style="545" customWidth="1"/>
    <col min="3593" max="3593" width="6.875" style="545" customWidth="1"/>
    <col min="3594" max="3594" width="5.125" style="545" customWidth="1"/>
    <col min="3595" max="3595" width="4.75" style="545" customWidth="1"/>
    <col min="3596" max="3596" width="5.625" style="545" customWidth="1"/>
    <col min="3597" max="3597" width="4.875" style="545" customWidth="1"/>
    <col min="3598" max="3598" width="5.25" style="545" customWidth="1"/>
    <col min="3599" max="3599" width="16.25" style="545" customWidth="1"/>
    <col min="3600" max="3600" width="9.25" style="545" customWidth="1"/>
    <col min="3601" max="3601" width="9.5" style="545" bestFit="1" customWidth="1"/>
    <col min="3602" max="3602" width="9.875" style="545" customWidth="1"/>
    <col min="3603" max="3604" width="10" style="545" customWidth="1"/>
    <col min="3605" max="3605" width="6.625" style="545" customWidth="1"/>
    <col min="3606" max="3606" width="6.5" style="545" customWidth="1"/>
    <col min="3607" max="3607" width="9" style="545"/>
    <col min="3608" max="3608" width="8.5" style="545" customWidth="1"/>
    <col min="3609" max="3609" width="6.375" style="545" customWidth="1"/>
    <col min="3610" max="3610" width="5.75" style="545" customWidth="1"/>
    <col min="3611" max="3611" width="12.625" style="545" customWidth="1"/>
    <col min="3612" max="3612" width="8.375" style="545" customWidth="1"/>
    <col min="3613" max="3613" width="24.875" style="545" customWidth="1"/>
    <col min="3614" max="3614" width="9" style="545"/>
    <col min="3615" max="3615" width="37.5" style="545" customWidth="1"/>
    <col min="3616" max="3832" width="9" style="545"/>
    <col min="3833" max="3834" width="3.75" style="545" customWidth="1"/>
    <col min="3835" max="3835" width="3.5" style="545" customWidth="1"/>
    <col min="3836" max="3836" width="3.875" style="545" customWidth="1"/>
    <col min="3837" max="3838" width="7.625" style="545" customWidth="1"/>
    <col min="3839" max="3839" width="6.375" style="545" customWidth="1"/>
    <col min="3840" max="3840" width="6.25" style="545" customWidth="1"/>
    <col min="3841" max="3841" width="6.625" style="545" customWidth="1"/>
    <col min="3842" max="3842" width="4.875" style="545" customWidth="1"/>
    <col min="3843" max="3843" width="4.75" style="545" customWidth="1"/>
    <col min="3844" max="3844" width="6.75" style="545" customWidth="1"/>
    <col min="3845" max="3845" width="0" style="545" hidden="1" customWidth="1"/>
    <col min="3846" max="3846" width="4.375" style="545" customWidth="1"/>
    <col min="3847" max="3847" width="5.625" style="545" customWidth="1"/>
    <col min="3848" max="3848" width="5.375" style="545" customWidth="1"/>
    <col min="3849" max="3849" width="6.875" style="545" customWidth="1"/>
    <col min="3850" max="3850" width="5.125" style="545" customWidth="1"/>
    <col min="3851" max="3851" width="4.75" style="545" customWidth="1"/>
    <col min="3852" max="3852" width="5.625" style="545" customWidth="1"/>
    <col min="3853" max="3853" width="4.875" style="545" customWidth="1"/>
    <col min="3854" max="3854" width="5.25" style="545" customWidth="1"/>
    <col min="3855" max="3855" width="16.25" style="545" customWidth="1"/>
    <col min="3856" max="3856" width="9.25" style="545" customWidth="1"/>
    <col min="3857" max="3857" width="9.5" style="545" bestFit="1" customWidth="1"/>
    <col min="3858" max="3858" width="9.875" style="545" customWidth="1"/>
    <col min="3859" max="3860" width="10" style="545" customWidth="1"/>
    <col min="3861" max="3861" width="6.625" style="545" customWidth="1"/>
    <col min="3862" max="3862" width="6.5" style="545" customWidth="1"/>
    <col min="3863" max="3863" width="9" style="545"/>
    <col min="3864" max="3864" width="8.5" style="545" customWidth="1"/>
    <col min="3865" max="3865" width="6.375" style="545" customWidth="1"/>
    <col min="3866" max="3866" width="5.75" style="545" customWidth="1"/>
    <col min="3867" max="3867" width="12.625" style="545" customWidth="1"/>
    <col min="3868" max="3868" width="8.375" style="545" customWidth="1"/>
    <col min="3869" max="3869" width="24.875" style="545" customWidth="1"/>
    <col min="3870" max="3870" width="9" style="545"/>
    <col min="3871" max="3871" width="37.5" style="545" customWidth="1"/>
    <col min="3872" max="4088" width="9" style="545"/>
    <col min="4089" max="4090" width="3.75" style="545" customWidth="1"/>
    <col min="4091" max="4091" width="3.5" style="545" customWidth="1"/>
    <col min="4092" max="4092" width="3.875" style="545" customWidth="1"/>
    <col min="4093" max="4094" width="7.625" style="545" customWidth="1"/>
    <col min="4095" max="4095" width="6.375" style="545" customWidth="1"/>
    <col min="4096" max="4096" width="6.25" style="545" customWidth="1"/>
    <col min="4097" max="4097" width="6.625" style="545" customWidth="1"/>
    <col min="4098" max="4098" width="4.875" style="545" customWidth="1"/>
    <col min="4099" max="4099" width="4.75" style="545" customWidth="1"/>
    <col min="4100" max="4100" width="6.75" style="545" customWidth="1"/>
    <col min="4101" max="4101" width="0" style="545" hidden="1" customWidth="1"/>
    <col min="4102" max="4102" width="4.375" style="545" customWidth="1"/>
    <col min="4103" max="4103" width="5.625" style="545" customWidth="1"/>
    <col min="4104" max="4104" width="5.375" style="545" customWidth="1"/>
    <col min="4105" max="4105" width="6.875" style="545" customWidth="1"/>
    <col min="4106" max="4106" width="5.125" style="545" customWidth="1"/>
    <col min="4107" max="4107" width="4.75" style="545" customWidth="1"/>
    <col min="4108" max="4108" width="5.625" style="545" customWidth="1"/>
    <col min="4109" max="4109" width="4.875" style="545" customWidth="1"/>
    <col min="4110" max="4110" width="5.25" style="545" customWidth="1"/>
    <col min="4111" max="4111" width="16.25" style="545" customWidth="1"/>
    <col min="4112" max="4112" width="9.25" style="545" customWidth="1"/>
    <col min="4113" max="4113" width="9.5" style="545" bestFit="1" customWidth="1"/>
    <col min="4114" max="4114" width="9.875" style="545" customWidth="1"/>
    <col min="4115" max="4116" width="10" style="545" customWidth="1"/>
    <col min="4117" max="4117" width="6.625" style="545" customWidth="1"/>
    <col min="4118" max="4118" width="6.5" style="545" customWidth="1"/>
    <col min="4119" max="4119" width="9" style="545"/>
    <col min="4120" max="4120" width="8.5" style="545" customWidth="1"/>
    <col min="4121" max="4121" width="6.375" style="545" customWidth="1"/>
    <col min="4122" max="4122" width="5.75" style="545" customWidth="1"/>
    <col min="4123" max="4123" width="12.625" style="545" customWidth="1"/>
    <col min="4124" max="4124" width="8.375" style="545" customWidth="1"/>
    <col min="4125" max="4125" width="24.875" style="545" customWidth="1"/>
    <col min="4126" max="4126" width="9" style="545"/>
    <col min="4127" max="4127" width="37.5" style="545" customWidth="1"/>
    <col min="4128" max="4344" width="9" style="545"/>
    <col min="4345" max="4346" width="3.75" style="545" customWidth="1"/>
    <col min="4347" max="4347" width="3.5" style="545" customWidth="1"/>
    <col min="4348" max="4348" width="3.875" style="545" customWidth="1"/>
    <col min="4349" max="4350" width="7.625" style="545" customWidth="1"/>
    <col min="4351" max="4351" width="6.375" style="545" customWidth="1"/>
    <col min="4352" max="4352" width="6.25" style="545" customWidth="1"/>
    <col min="4353" max="4353" width="6.625" style="545" customWidth="1"/>
    <col min="4354" max="4354" width="4.875" style="545" customWidth="1"/>
    <col min="4355" max="4355" width="4.75" style="545" customWidth="1"/>
    <col min="4356" max="4356" width="6.75" style="545" customWidth="1"/>
    <col min="4357" max="4357" width="0" style="545" hidden="1" customWidth="1"/>
    <col min="4358" max="4358" width="4.375" style="545" customWidth="1"/>
    <col min="4359" max="4359" width="5.625" style="545" customWidth="1"/>
    <col min="4360" max="4360" width="5.375" style="545" customWidth="1"/>
    <col min="4361" max="4361" width="6.875" style="545" customWidth="1"/>
    <col min="4362" max="4362" width="5.125" style="545" customWidth="1"/>
    <col min="4363" max="4363" width="4.75" style="545" customWidth="1"/>
    <col min="4364" max="4364" width="5.625" style="545" customWidth="1"/>
    <col min="4365" max="4365" width="4.875" style="545" customWidth="1"/>
    <col min="4366" max="4366" width="5.25" style="545" customWidth="1"/>
    <col min="4367" max="4367" width="16.25" style="545" customWidth="1"/>
    <col min="4368" max="4368" width="9.25" style="545" customWidth="1"/>
    <col min="4369" max="4369" width="9.5" style="545" bestFit="1" customWidth="1"/>
    <col min="4370" max="4370" width="9.875" style="545" customWidth="1"/>
    <col min="4371" max="4372" width="10" style="545" customWidth="1"/>
    <col min="4373" max="4373" width="6.625" style="545" customWidth="1"/>
    <col min="4374" max="4374" width="6.5" style="545" customWidth="1"/>
    <col min="4375" max="4375" width="9" style="545"/>
    <col min="4376" max="4376" width="8.5" style="545" customWidth="1"/>
    <col min="4377" max="4377" width="6.375" style="545" customWidth="1"/>
    <col min="4378" max="4378" width="5.75" style="545" customWidth="1"/>
    <col min="4379" max="4379" width="12.625" style="545" customWidth="1"/>
    <col min="4380" max="4380" width="8.375" style="545" customWidth="1"/>
    <col min="4381" max="4381" width="24.875" style="545" customWidth="1"/>
    <col min="4382" max="4382" width="9" style="545"/>
    <col min="4383" max="4383" width="37.5" style="545" customWidth="1"/>
    <col min="4384" max="4600" width="9" style="545"/>
    <col min="4601" max="4602" width="3.75" style="545" customWidth="1"/>
    <col min="4603" max="4603" width="3.5" style="545" customWidth="1"/>
    <col min="4604" max="4604" width="3.875" style="545" customWidth="1"/>
    <col min="4605" max="4606" width="7.625" style="545" customWidth="1"/>
    <col min="4607" max="4607" width="6.375" style="545" customWidth="1"/>
    <col min="4608" max="4608" width="6.25" style="545" customWidth="1"/>
    <col min="4609" max="4609" width="6.625" style="545" customWidth="1"/>
    <col min="4610" max="4610" width="4.875" style="545" customWidth="1"/>
    <col min="4611" max="4611" width="4.75" style="545" customWidth="1"/>
    <col min="4612" max="4612" width="6.75" style="545" customWidth="1"/>
    <col min="4613" max="4613" width="0" style="545" hidden="1" customWidth="1"/>
    <col min="4614" max="4614" width="4.375" style="545" customWidth="1"/>
    <col min="4615" max="4615" width="5.625" style="545" customWidth="1"/>
    <col min="4616" max="4616" width="5.375" style="545" customWidth="1"/>
    <col min="4617" max="4617" width="6.875" style="545" customWidth="1"/>
    <col min="4618" max="4618" width="5.125" style="545" customWidth="1"/>
    <col min="4619" max="4619" width="4.75" style="545" customWidth="1"/>
    <col min="4620" max="4620" width="5.625" style="545" customWidth="1"/>
    <col min="4621" max="4621" width="4.875" style="545" customWidth="1"/>
    <col min="4622" max="4622" width="5.25" style="545" customWidth="1"/>
    <col min="4623" max="4623" width="16.25" style="545" customWidth="1"/>
    <col min="4624" max="4624" width="9.25" style="545" customWidth="1"/>
    <col min="4625" max="4625" width="9.5" style="545" bestFit="1" customWidth="1"/>
    <col min="4626" max="4626" width="9.875" style="545" customWidth="1"/>
    <col min="4627" max="4628" width="10" style="545" customWidth="1"/>
    <col min="4629" max="4629" width="6.625" style="545" customWidth="1"/>
    <col min="4630" max="4630" width="6.5" style="545" customWidth="1"/>
    <col min="4631" max="4631" width="9" style="545"/>
    <col min="4632" max="4632" width="8.5" style="545" customWidth="1"/>
    <col min="4633" max="4633" width="6.375" style="545" customWidth="1"/>
    <col min="4634" max="4634" width="5.75" style="545" customWidth="1"/>
    <col min="4635" max="4635" width="12.625" style="545" customWidth="1"/>
    <col min="4636" max="4636" width="8.375" style="545" customWidth="1"/>
    <col min="4637" max="4637" width="24.875" style="545" customWidth="1"/>
    <col min="4638" max="4638" width="9" style="545"/>
    <col min="4639" max="4639" width="37.5" style="545" customWidth="1"/>
    <col min="4640" max="4856" width="9" style="545"/>
    <col min="4857" max="4858" width="3.75" style="545" customWidth="1"/>
    <col min="4859" max="4859" width="3.5" style="545" customWidth="1"/>
    <col min="4860" max="4860" width="3.875" style="545" customWidth="1"/>
    <col min="4861" max="4862" width="7.625" style="545" customWidth="1"/>
    <col min="4863" max="4863" width="6.375" style="545" customWidth="1"/>
    <col min="4864" max="4864" width="6.25" style="545" customWidth="1"/>
    <col min="4865" max="4865" width="6.625" style="545" customWidth="1"/>
    <col min="4866" max="4866" width="4.875" style="545" customWidth="1"/>
    <col min="4867" max="4867" width="4.75" style="545" customWidth="1"/>
    <col min="4868" max="4868" width="6.75" style="545" customWidth="1"/>
    <col min="4869" max="4869" width="0" style="545" hidden="1" customWidth="1"/>
    <col min="4870" max="4870" width="4.375" style="545" customWidth="1"/>
    <col min="4871" max="4871" width="5.625" style="545" customWidth="1"/>
    <col min="4872" max="4872" width="5.375" style="545" customWidth="1"/>
    <col min="4873" max="4873" width="6.875" style="545" customWidth="1"/>
    <col min="4874" max="4874" width="5.125" style="545" customWidth="1"/>
    <col min="4875" max="4875" width="4.75" style="545" customWidth="1"/>
    <col min="4876" max="4876" width="5.625" style="545" customWidth="1"/>
    <col min="4877" max="4877" width="4.875" style="545" customWidth="1"/>
    <col min="4878" max="4878" width="5.25" style="545" customWidth="1"/>
    <col min="4879" max="4879" width="16.25" style="545" customWidth="1"/>
    <col min="4880" max="4880" width="9.25" style="545" customWidth="1"/>
    <col min="4881" max="4881" width="9.5" style="545" bestFit="1" customWidth="1"/>
    <col min="4882" max="4882" width="9.875" style="545" customWidth="1"/>
    <col min="4883" max="4884" width="10" style="545" customWidth="1"/>
    <col min="4885" max="4885" width="6.625" style="545" customWidth="1"/>
    <col min="4886" max="4886" width="6.5" style="545" customWidth="1"/>
    <col min="4887" max="4887" width="9" style="545"/>
    <col min="4888" max="4888" width="8.5" style="545" customWidth="1"/>
    <col min="4889" max="4889" width="6.375" style="545" customWidth="1"/>
    <col min="4890" max="4890" width="5.75" style="545" customWidth="1"/>
    <col min="4891" max="4891" width="12.625" style="545" customWidth="1"/>
    <col min="4892" max="4892" width="8.375" style="545" customWidth="1"/>
    <col min="4893" max="4893" width="24.875" style="545" customWidth="1"/>
    <col min="4894" max="4894" width="9" style="545"/>
    <col min="4895" max="4895" width="37.5" style="545" customWidth="1"/>
    <col min="4896" max="5112" width="9" style="545"/>
    <col min="5113" max="5114" width="3.75" style="545" customWidth="1"/>
    <col min="5115" max="5115" width="3.5" style="545" customWidth="1"/>
    <col min="5116" max="5116" width="3.875" style="545" customWidth="1"/>
    <col min="5117" max="5118" width="7.625" style="545" customWidth="1"/>
    <col min="5119" max="5119" width="6.375" style="545" customWidth="1"/>
    <col min="5120" max="5120" width="6.25" style="545" customWidth="1"/>
    <col min="5121" max="5121" width="6.625" style="545" customWidth="1"/>
    <col min="5122" max="5122" width="4.875" style="545" customWidth="1"/>
    <col min="5123" max="5123" width="4.75" style="545" customWidth="1"/>
    <col min="5124" max="5124" width="6.75" style="545" customWidth="1"/>
    <col min="5125" max="5125" width="0" style="545" hidden="1" customWidth="1"/>
    <col min="5126" max="5126" width="4.375" style="545" customWidth="1"/>
    <col min="5127" max="5127" width="5.625" style="545" customWidth="1"/>
    <col min="5128" max="5128" width="5.375" style="545" customWidth="1"/>
    <col min="5129" max="5129" width="6.875" style="545" customWidth="1"/>
    <col min="5130" max="5130" width="5.125" style="545" customWidth="1"/>
    <col min="5131" max="5131" width="4.75" style="545" customWidth="1"/>
    <col min="5132" max="5132" width="5.625" style="545" customWidth="1"/>
    <col min="5133" max="5133" width="4.875" style="545" customWidth="1"/>
    <col min="5134" max="5134" width="5.25" style="545" customWidth="1"/>
    <col min="5135" max="5135" width="16.25" style="545" customWidth="1"/>
    <col min="5136" max="5136" width="9.25" style="545" customWidth="1"/>
    <col min="5137" max="5137" width="9.5" style="545" bestFit="1" customWidth="1"/>
    <col min="5138" max="5138" width="9.875" style="545" customWidth="1"/>
    <col min="5139" max="5140" width="10" style="545" customWidth="1"/>
    <col min="5141" max="5141" width="6.625" style="545" customWidth="1"/>
    <col min="5142" max="5142" width="6.5" style="545" customWidth="1"/>
    <col min="5143" max="5143" width="9" style="545"/>
    <col min="5144" max="5144" width="8.5" style="545" customWidth="1"/>
    <col min="5145" max="5145" width="6.375" style="545" customWidth="1"/>
    <col min="5146" max="5146" width="5.75" style="545" customWidth="1"/>
    <col min="5147" max="5147" width="12.625" style="545" customWidth="1"/>
    <col min="5148" max="5148" width="8.375" style="545" customWidth="1"/>
    <col min="5149" max="5149" width="24.875" style="545" customWidth="1"/>
    <col min="5150" max="5150" width="9" style="545"/>
    <col min="5151" max="5151" width="37.5" style="545" customWidth="1"/>
    <col min="5152" max="5368" width="9" style="545"/>
    <col min="5369" max="5370" width="3.75" style="545" customWidth="1"/>
    <col min="5371" max="5371" width="3.5" style="545" customWidth="1"/>
    <col min="5372" max="5372" width="3.875" style="545" customWidth="1"/>
    <col min="5373" max="5374" width="7.625" style="545" customWidth="1"/>
    <col min="5375" max="5375" width="6.375" style="545" customWidth="1"/>
    <col min="5376" max="5376" width="6.25" style="545" customWidth="1"/>
    <col min="5377" max="5377" width="6.625" style="545" customWidth="1"/>
    <col min="5378" max="5378" width="4.875" style="545" customWidth="1"/>
    <col min="5379" max="5379" width="4.75" style="545" customWidth="1"/>
    <col min="5380" max="5380" width="6.75" style="545" customWidth="1"/>
    <col min="5381" max="5381" width="0" style="545" hidden="1" customWidth="1"/>
    <col min="5382" max="5382" width="4.375" style="545" customWidth="1"/>
    <col min="5383" max="5383" width="5.625" style="545" customWidth="1"/>
    <col min="5384" max="5384" width="5.375" style="545" customWidth="1"/>
    <col min="5385" max="5385" width="6.875" style="545" customWidth="1"/>
    <col min="5386" max="5386" width="5.125" style="545" customWidth="1"/>
    <col min="5387" max="5387" width="4.75" style="545" customWidth="1"/>
    <col min="5388" max="5388" width="5.625" style="545" customWidth="1"/>
    <col min="5389" max="5389" width="4.875" style="545" customWidth="1"/>
    <col min="5390" max="5390" width="5.25" style="545" customWidth="1"/>
    <col min="5391" max="5391" width="16.25" style="545" customWidth="1"/>
    <col min="5392" max="5392" width="9.25" style="545" customWidth="1"/>
    <col min="5393" max="5393" width="9.5" style="545" bestFit="1" customWidth="1"/>
    <col min="5394" max="5394" width="9.875" style="545" customWidth="1"/>
    <col min="5395" max="5396" width="10" style="545" customWidth="1"/>
    <col min="5397" max="5397" width="6.625" style="545" customWidth="1"/>
    <col min="5398" max="5398" width="6.5" style="545" customWidth="1"/>
    <col min="5399" max="5399" width="9" style="545"/>
    <col min="5400" max="5400" width="8.5" style="545" customWidth="1"/>
    <col min="5401" max="5401" width="6.375" style="545" customWidth="1"/>
    <col min="5402" max="5402" width="5.75" style="545" customWidth="1"/>
    <col min="5403" max="5403" width="12.625" style="545" customWidth="1"/>
    <col min="5404" max="5404" width="8.375" style="545" customWidth="1"/>
    <col min="5405" max="5405" width="24.875" style="545" customWidth="1"/>
    <col min="5406" max="5406" width="9" style="545"/>
    <col min="5407" max="5407" width="37.5" style="545" customWidth="1"/>
    <col min="5408" max="5624" width="9" style="545"/>
    <col min="5625" max="5626" width="3.75" style="545" customWidth="1"/>
    <col min="5627" max="5627" width="3.5" style="545" customWidth="1"/>
    <col min="5628" max="5628" width="3.875" style="545" customWidth="1"/>
    <col min="5629" max="5630" width="7.625" style="545" customWidth="1"/>
    <col min="5631" max="5631" width="6.375" style="545" customWidth="1"/>
    <col min="5632" max="5632" width="6.25" style="545" customWidth="1"/>
    <col min="5633" max="5633" width="6.625" style="545" customWidth="1"/>
    <col min="5634" max="5634" width="4.875" style="545" customWidth="1"/>
    <col min="5635" max="5635" width="4.75" style="545" customWidth="1"/>
    <col min="5636" max="5636" width="6.75" style="545" customWidth="1"/>
    <col min="5637" max="5637" width="0" style="545" hidden="1" customWidth="1"/>
    <col min="5638" max="5638" width="4.375" style="545" customWidth="1"/>
    <col min="5639" max="5639" width="5.625" style="545" customWidth="1"/>
    <col min="5640" max="5640" width="5.375" style="545" customWidth="1"/>
    <col min="5641" max="5641" width="6.875" style="545" customWidth="1"/>
    <col min="5642" max="5642" width="5.125" style="545" customWidth="1"/>
    <col min="5643" max="5643" width="4.75" style="545" customWidth="1"/>
    <col min="5644" max="5644" width="5.625" style="545" customWidth="1"/>
    <col min="5645" max="5645" width="4.875" style="545" customWidth="1"/>
    <col min="5646" max="5646" width="5.25" style="545" customWidth="1"/>
    <col min="5647" max="5647" width="16.25" style="545" customWidth="1"/>
    <col min="5648" max="5648" width="9.25" style="545" customWidth="1"/>
    <col min="5649" max="5649" width="9.5" style="545" bestFit="1" customWidth="1"/>
    <col min="5650" max="5650" width="9.875" style="545" customWidth="1"/>
    <col min="5651" max="5652" width="10" style="545" customWidth="1"/>
    <col min="5653" max="5653" width="6.625" style="545" customWidth="1"/>
    <col min="5654" max="5654" width="6.5" style="545" customWidth="1"/>
    <col min="5655" max="5655" width="9" style="545"/>
    <col min="5656" max="5656" width="8.5" style="545" customWidth="1"/>
    <col min="5657" max="5657" width="6.375" style="545" customWidth="1"/>
    <col min="5658" max="5658" width="5.75" style="545" customWidth="1"/>
    <col min="5659" max="5659" width="12.625" style="545" customWidth="1"/>
    <col min="5660" max="5660" width="8.375" style="545" customWidth="1"/>
    <col min="5661" max="5661" width="24.875" style="545" customWidth="1"/>
    <col min="5662" max="5662" width="9" style="545"/>
    <col min="5663" max="5663" width="37.5" style="545" customWidth="1"/>
    <col min="5664" max="5880" width="9" style="545"/>
    <col min="5881" max="5882" width="3.75" style="545" customWidth="1"/>
    <col min="5883" max="5883" width="3.5" style="545" customWidth="1"/>
    <col min="5884" max="5884" width="3.875" style="545" customWidth="1"/>
    <col min="5885" max="5886" width="7.625" style="545" customWidth="1"/>
    <col min="5887" max="5887" width="6.375" style="545" customWidth="1"/>
    <col min="5888" max="5888" width="6.25" style="545" customWidth="1"/>
    <col min="5889" max="5889" width="6.625" style="545" customWidth="1"/>
    <col min="5890" max="5890" width="4.875" style="545" customWidth="1"/>
    <col min="5891" max="5891" width="4.75" style="545" customWidth="1"/>
    <col min="5892" max="5892" width="6.75" style="545" customWidth="1"/>
    <col min="5893" max="5893" width="0" style="545" hidden="1" customWidth="1"/>
    <col min="5894" max="5894" width="4.375" style="545" customWidth="1"/>
    <col min="5895" max="5895" width="5.625" style="545" customWidth="1"/>
    <col min="5896" max="5896" width="5.375" style="545" customWidth="1"/>
    <col min="5897" max="5897" width="6.875" style="545" customWidth="1"/>
    <col min="5898" max="5898" width="5.125" style="545" customWidth="1"/>
    <col min="5899" max="5899" width="4.75" style="545" customWidth="1"/>
    <col min="5900" max="5900" width="5.625" style="545" customWidth="1"/>
    <col min="5901" max="5901" width="4.875" style="545" customWidth="1"/>
    <col min="5902" max="5902" width="5.25" style="545" customWidth="1"/>
    <col min="5903" max="5903" width="16.25" style="545" customWidth="1"/>
    <col min="5904" max="5904" width="9.25" style="545" customWidth="1"/>
    <col min="5905" max="5905" width="9.5" style="545" bestFit="1" customWidth="1"/>
    <col min="5906" max="5906" width="9.875" style="545" customWidth="1"/>
    <col min="5907" max="5908" width="10" style="545" customWidth="1"/>
    <col min="5909" max="5909" width="6.625" style="545" customWidth="1"/>
    <col min="5910" max="5910" width="6.5" style="545" customWidth="1"/>
    <col min="5911" max="5911" width="9" style="545"/>
    <col min="5912" max="5912" width="8.5" style="545" customWidth="1"/>
    <col min="5913" max="5913" width="6.375" style="545" customWidth="1"/>
    <col min="5914" max="5914" width="5.75" style="545" customWidth="1"/>
    <col min="5915" max="5915" width="12.625" style="545" customWidth="1"/>
    <col min="5916" max="5916" width="8.375" style="545" customWidth="1"/>
    <col min="5917" max="5917" width="24.875" style="545" customWidth="1"/>
    <col min="5918" max="5918" width="9" style="545"/>
    <col min="5919" max="5919" width="37.5" style="545" customWidth="1"/>
    <col min="5920" max="6136" width="9" style="545"/>
    <col min="6137" max="6138" width="3.75" style="545" customWidth="1"/>
    <col min="6139" max="6139" width="3.5" style="545" customWidth="1"/>
    <col min="6140" max="6140" width="3.875" style="545" customWidth="1"/>
    <col min="6141" max="6142" width="7.625" style="545" customWidth="1"/>
    <col min="6143" max="6143" width="6.375" style="545" customWidth="1"/>
    <col min="6144" max="6144" width="6.25" style="545" customWidth="1"/>
    <col min="6145" max="6145" width="6.625" style="545" customWidth="1"/>
    <col min="6146" max="6146" width="4.875" style="545" customWidth="1"/>
    <col min="6147" max="6147" width="4.75" style="545" customWidth="1"/>
    <col min="6148" max="6148" width="6.75" style="545" customWidth="1"/>
    <col min="6149" max="6149" width="0" style="545" hidden="1" customWidth="1"/>
    <col min="6150" max="6150" width="4.375" style="545" customWidth="1"/>
    <col min="6151" max="6151" width="5.625" style="545" customWidth="1"/>
    <col min="6152" max="6152" width="5.375" style="545" customWidth="1"/>
    <col min="6153" max="6153" width="6.875" style="545" customWidth="1"/>
    <col min="6154" max="6154" width="5.125" style="545" customWidth="1"/>
    <col min="6155" max="6155" width="4.75" style="545" customWidth="1"/>
    <col min="6156" max="6156" width="5.625" style="545" customWidth="1"/>
    <col min="6157" max="6157" width="4.875" style="545" customWidth="1"/>
    <col min="6158" max="6158" width="5.25" style="545" customWidth="1"/>
    <col min="6159" max="6159" width="16.25" style="545" customWidth="1"/>
    <col min="6160" max="6160" width="9.25" style="545" customWidth="1"/>
    <col min="6161" max="6161" width="9.5" style="545" bestFit="1" customWidth="1"/>
    <col min="6162" max="6162" width="9.875" style="545" customWidth="1"/>
    <col min="6163" max="6164" width="10" style="545" customWidth="1"/>
    <col min="6165" max="6165" width="6.625" style="545" customWidth="1"/>
    <col min="6166" max="6166" width="6.5" style="545" customWidth="1"/>
    <col min="6167" max="6167" width="9" style="545"/>
    <col min="6168" max="6168" width="8.5" style="545" customWidth="1"/>
    <col min="6169" max="6169" width="6.375" style="545" customWidth="1"/>
    <col min="6170" max="6170" width="5.75" style="545" customWidth="1"/>
    <col min="6171" max="6171" width="12.625" style="545" customWidth="1"/>
    <col min="6172" max="6172" width="8.375" style="545" customWidth="1"/>
    <col min="6173" max="6173" width="24.875" style="545" customWidth="1"/>
    <col min="6174" max="6174" width="9" style="545"/>
    <col min="6175" max="6175" width="37.5" style="545" customWidth="1"/>
    <col min="6176" max="6392" width="9" style="545"/>
    <col min="6393" max="6394" width="3.75" style="545" customWidth="1"/>
    <col min="6395" max="6395" width="3.5" style="545" customWidth="1"/>
    <col min="6396" max="6396" width="3.875" style="545" customWidth="1"/>
    <col min="6397" max="6398" width="7.625" style="545" customWidth="1"/>
    <col min="6399" max="6399" width="6.375" style="545" customWidth="1"/>
    <col min="6400" max="6400" width="6.25" style="545" customWidth="1"/>
    <col min="6401" max="6401" width="6.625" style="545" customWidth="1"/>
    <col min="6402" max="6402" width="4.875" style="545" customWidth="1"/>
    <col min="6403" max="6403" width="4.75" style="545" customWidth="1"/>
    <col min="6404" max="6404" width="6.75" style="545" customWidth="1"/>
    <col min="6405" max="6405" width="0" style="545" hidden="1" customWidth="1"/>
    <col min="6406" max="6406" width="4.375" style="545" customWidth="1"/>
    <col min="6407" max="6407" width="5.625" style="545" customWidth="1"/>
    <col min="6408" max="6408" width="5.375" style="545" customWidth="1"/>
    <col min="6409" max="6409" width="6.875" style="545" customWidth="1"/>
    <col min="6410" max="6410" width="5.125" style="545" customWidth="1"/>
    <col min="6411" max="6411" width="4.75" style="545" customWidth="1"/>
    <col min="6412" max="6412" width="5.625" style="545" customWidth="1"/>
    <col min="6413" max="6413" width="4.875" style="545" customWidth="1"/>
    <col min="6414" max="6414" width="5.25" style="545" customWidth="1"/>
    <col min="6415" max="6415" width="16.25" style="545" customWidth="1"/>
    <col min="6416" max="6416" width="9.25" style="545" customWidth="1"/>
    <col min="6417" max="6417" width="9.5" style="545" bestFit="1" customWidth="1"/>
    <col min="6418" max="6418" width="9.875" style="545" customWidth="1"/>
    <col min="6419" max="6420" width="10" style="545" customWidth="1"/>
    <col min="6421" max="6421" width="6.625" style="545" customWidth="1"/>
    <col min="6422" max="6422" width="6.5" style="545" customWidth="1"/>
    <col min="6423" max="6423" width="9" style="545"/>
    <col min="6424" max="6424" width="8.5" style="545" customWidth="1"/>
    <col min="6425" max="6425" width="6.375" style="545" customWidth="1"/>
    <col min="6426" max="6426" width="5.75" style="545" customWidth="1"/>
    <col min="6427" max="6427" width="12.625" style="545" customWidth="1"/>
    <col min="6428" max="6428" width="8.375" style="545" customWidth="1"/>
    <col min="6429" max="6429" width="24.875" style="545" customWidth="1"/>
    <col min="6430" max="6430" width="9" style="545"/>
    <col min="6431" max="6431" width="37.5" style="545" customWidth="1"/>
    <col min="6432" max="6648" width="9" style="545"/>
    <col min="6649" max="6650" width="3.75" style="545" customWidth="1"/>
    <col min="6651" max="6651" width="3.5" style="545" customWidth="1"/>
    <col min="6652" max="6652" width="3.875" style="545" customWidth="1"/>
    <col min="6653" max="6654" width="7.625" style="545" customWidth="1"/>
    <col min="6655" max="6655" width="6.375" style="545" customWidth="1"/>
    <col min="6656" max="6656" width="6.25" style="545" customWidth="1"/>
    <col min="6657" max="6657" width="6.625" style="545" customWidth="1"/>
    <col min="6658" max="6658" width="4.875" style="545" customWidth="1"/>
    <col min="6659" max="6659" width="4.75" style="545" customWidth="1"/>
    <col min="6660" max="6660" width="6.75" style="545" customWidth="1"/>
    <col min="6661" max="6661" width="0" style="545" hidden="1" customWidth="1"/>
    <col min="6662" max="6662" width="4.375" style="545" customWidth="1"/>
    <col min="6663" max="6663" width="5.625" style="545" customWidth="1"/>
    <col min="6664" max="6664" width="5.375" style="545" customWidth="1"/>
    <col min="6665" max="6665" width="6.875" style="545" customWidth="1"/>
    <col min="6666" max="6666" width="5.125" style="545" customWidth="1"/>
    <col min="6667" max="6667" width="4.75" style="545" customWidth="1"/>
    <col min="6668" max="6668" width="5.625" style="545" customWidth="1"/>
    <col min="6669" max="6669" width="4.875" style="545" customWidth="1"/>
    <col min="6670" max="6670" width="5.25" style="545" customWidth="1"/>
    <col min="6671" max="6671" width="16.25" style="545" customWidth="1"/>
    <col min="6672" max="6672" width="9.25" style="545" customWidth="1"/>
    <col min="6673" max="6673" width="9.5" style="545" bestFit="1" customWidth="1"/>
    <col min="6674" max="6674" width="9.875" style="545" customWidth="1"/>
    <col min="6675" max="6676" width="10" style="545" customWidth="1"/>
    <col min="6677" max="6677" width="6.625" style="545" customWidth="1"/>
    <col min="6678" max="6678" width="6.5" style="545" customWidth="1"/>
    <col min="6679" max="6679" width="9" style="545"/>
    <col min="6680" max="6680" width="8.5" style="545" customWidth="1"/>
    <col min="6681" max="6681" width="6.375" style="545" customWidth="1"/>
    <col min="6682" max="6682" width="5.75" style="545" customWidth="1"/>
    <col min="6683" max="6683" width="12.625" style="545" customWidth="1"/>
    <col min="6684" max="6684" width="8.375" style="545" customWidth="1"/>
    <col min="6685" max="6685" width="24.875" style="545" customWidth="1"/>
    <col min="6686" max="6686" width="9" style="545"/>
    <col min="6687" max="6687" width="37.5" style="545" customWidth="1"/>
    <col min="6688" max="6904" width="9" style="545"/>
    <col min="6905" max="6906" width="3.75" style="545" customWidth="1"/>
    <col min="6907" max="6907" width="3.5" style="545" customWidth="1"/>
    <col min="6908" max="6908" width="3.875" style="545" customWidth="1"/>
    <col min="6909" max="6910" width="7.625" style="545" customWidth="1"/>
    <col min="6911" max="6911" width="6.375" style="545" customWidth="1"/>
    <col min="6912" max="6912" width="6.25" style="545" customWidth="1"/>
    <col min="6913" max="6913" width="6.625" style="545" customWidth="1"/>
    <col min="6914" max="6914" width="4.875" style="545" customWidth="1"/>
    <col min="6915" max="6915" width="4.75" style="545" customWidth="1"/>
    <col min="6916" max="6916" width="6.75" style="545" customWidth="1"/>
    <col min="6917" max="6917" width="0" style="545" hidden="1" customWidth="1"/>
    <col min="6918" max="6918" width="4.375" style="545" customWidth="1"/>
    <col min="6919" max="6919" width="5.625" style="545" customWidth="1"/>
    <col min="6920" max="6920" width="5.375" style="545" customWidth="1"/>
    <col min="6921" max="6921" width="6.875" style="545" customWidth="1"/>
    <col min="6922" max="6922" width="5.125" style="545" customWidth="1"/>
    <col min="6923" max="6923" width="4.75" style="545" customWidth="1"/>
    <col min="6924" max="6924" width="5.625" style="545" customWidth="1"/>
    <col min="6925" max="6925" width="4.875" style="545" customWidth="1"/>
    <col min="6926" max="6926" width="5.25" style="545" customWidth="1"/>
    <col min="6927" max="6927" width="16.25" style="545" customWidth="1"/>
    <col min="6928" max="6928" width="9.25" style="545" customWidth="1"/>
    <col min="6929" max="6929" width="9.5" style="545" bestFit="1" customWidth="1"/>
    <col min="6930" max="6930" width="9.875" style="545" customWidth="1"/>
    <col min="6931" max="6932" width="10" style="545" customWidth="1"/>
    <col min="6933" max="6933" width="6.625" style="545" customWidth="1"/>
    <col min="6934" max="6934" width="6.5" style="545" customWidth="1"/>
    <col min="6935" max="6935" width="9" style="545"/>
    <col min="6936" max="6936" width="8.5" style="545" customWidth="1"/>
    <col min="6937" max="6937" width="6.375" style="545" customWidth="1"/>
    <col min="6938" max="6938" width="5.75" style="545" customWidth="1"/>
    <col min="6939" max="6939" width="12.625" style="545" customWidth="1"/>
    <col min="6940" max="6940" width="8.375" style="545" customWidth="1"/>
    <col min="6941" max="6941" width="24.875" style="545" customWidth="1"/>
    <col min="6942" max="6942" width="9" style="545"/>
    <col min="6943" max="6943" width="37.5" style="545" customWidth="1"/>
    <col min="6944" max="7160" width="9" style="545"/>
    <col min="7161" max="7162" width="3.75" style="545" customWidth="1"/>
    <col min="7163" max="7163" width="3.5" style="545" customWidth="1"/>
    <col min="7164" max="7164" width="3.875" style="545" customWidth="1"/>
    <col min="7165" max="7166" width="7.625" style="545" customWidth="1"/>
    <col min="7167" max="7167" width="6.375" style="545" customWidth="1"/>
    <col min="7168" max="7168" width="6.25" style="545" customWidth="1"/>
    <col min="7169" max="7169" width="6.625" style="545" customWidth="1"/>
    <col min="7170" max="7170" width="4.875" style="545" customWidth="1"/>
    <col min="7171" max="7171" width="4.75" style="545" customWidth="1"/>
    <col min="7172" max="7172" width="6.75" style="545" customWidth="1"/>
    <col min="7173" max="7173" width="0" style="545" hidden="1" customWidth="1"/>
    <col min="7174" max="7174" width="4.375" style="545" customWidth="1"/>
    <col min="7175" max="7175" width="5.625" style="545" customWidth="1"/>
    <col min="7176" max="7176" width="5.375" style="545" customWidth="1"/>
    <col min="7177" max="7177" width="6.875" style="545" customWidth="1"/>
    <col min="7178" max="7178" width="5.125" style="545" customWidth="1"/>
    <col min="7179" max="7179" width="4.75" style="545" customWidth="1"/>
    <col min="7180" max="7180" width="5.625" style="545" customWidth="1"/>
    <col min="7181" max="7181" width="4.875" style="545" customWidth="1"/>
    <col min="7182" max="7182" width="5.25" style="545" customWidth="1"/>
    <col min="7183" max="7183" width="16.25" style="545" customWidth="1"/>
    <col min="7184" max="7184" width="9.25" style="545" customWidth="1"/>
    <col min="7185" max="7185" width="9.5" style="545" bestFit="1" customWidth="1"/>
    <col min="7186" max="7186" width="9.875" style="545" customWidth="1"/>
    <col min="7187" max="7188" width="10" style="545" customWidth="1"/>
    <col min="7189" max="7189" width="6.625" style="545" customWidth="1"/>
    <col min="7190" max="7190" width="6.5" style="545" customWidth="1"/>
    <col min="7191" max="7191" width="9" style="545"/>
    <col min="7192" max="7192" width="8.5" style="545" customWidth="1"/>
    <col min="7193" max="7193" width="6.375" style="545" customWidth="1"/>
    <col min="7194" max="7194" width="5.75" style="545" customWidth="1"/>
    <col min="7195" max="7195" width="12.625" style="545" customWidth="1"/>
    <col min="7196" max="7196" width="8.375" style="545" customWidth="1"/>
    <col min="7197" max="7197" width="24.875" style="545" customWidth="1"/>
    <col min="7198" max="7198" width="9" style="545"/>
    <col min="7199" max="7199" width="37.5" style="545" customWidth="1"/>
    <col min="7200" max="7416" width="9" style="545"/>
    <col min="7417" max="7418" width="3.75" style="545" customWidth="1"/>
    <col min="7419" max="7419" width="3.5" style="545" customWidth="1"/>
    <col min="7420" max="7420" width="3.875" style="545" customWidth="1"/>
    <col min="7421" max="7422" width="7.625" style="545" customWidth="1"/>
    <col min="7423" max="7423" width="6.375" style="545" customWidth="1"/>
    <col min="7424" max="7424" width="6.25" style="545" customWidth="1"/>
    <col min="7425" max="7425" width="6.625" style="545" customWidth="1"/>
    <col min="7426" max="7426" width="4.875" style="545" customWidth="1"/>
    <col min="7427" max="7427" width="4.75" style="545" customWidth="1"/>
    <col min="7428" max="7428" width="6.75" style="545" customWidth="1"/>
    <col min="7429" max="7429" width="0" style="545" hidden="1" customWidth="1"/>
    <col min="7430" max="7430" width="4.375" style="545" customWidth="1"/>
    <col min="7431" max="7431" width="5.625" style="545" customWidth="1"/>
    <col min="7432" max="7432" width="5.375" style="545" customWidth="1"/>
    <col min="7433" max="7433" width="6.875" style="545" customWidth="1"/>
    <col min="7434" max="7434" width="5.125" style="545" customWidth="1"/>
    <col min="7435" max="7435" width="4.75" style="545" customWidth="1"/>
    <col min="7436" max="7436" width="5.625" style="545" customWidth="1"/>
    <col min="7437" max="7437" width="4.875" style="545" customWidth="1"/>
    <col min="7438" max="7438" width="5.25" style="545" customWidth="1"/>
    <col min="7439" max="7439" width="16.25" style="545" customWidth="1"/>
    <col min="7440" max="7440" width="9.25" style="545" customWidth="1"/>
    <col min="7441" max="7441" width="9.5" style="545" bestFit="1" customWidth="1"/>
    <col min="7442" max="7442" width="9.875" style="545" customWidth="1"/>
    <col min="7443" max="7444" width="10" style="545" customWidth="1"/>
    <col min="7445" max="7445" width="6.625" style="545" customWidth="1"/>
    <col min="7446" max="7446" width="6.5" style="545" customWidth="1"/>
    <col min="7447" max="7447" width="9" style="545"/>
    <col min="7448" max="7448" width="8.5" style="545" customWidth="1"/>
    <col min="7449" max="7449" width="6.375" style="545" customWidth="1"/>
    <col min="7450" max="7450" width="5.75" style="545" customWidth="1"/>
    <col min="7451" max="7451" width="12.625" style="545" customWidth="1"/>
    <col min="7452" max="7452" width="8.375" style="545" customWidth="1"/>
    <col min="7453" max="7453" width="24.875" style="545" customWidth="1"/>
    <col min="7454" max="7454" width="9" style="545"/>
    <col min="7455" max="7455" width="37.5" style="545" customWidth="1"/>
    <col min="7456" max="7672" width="9" style="545"/>
    <col min="7673" max="7674" width="3.75" style="545" customWidth="1"/>
    <col min="7675" max="7675" width="3.5" style="545" customWidth="1"/>
    <col min="7676" max="7676" width="3.875" style="545" customWidth="1"/>
    <col min="7677" max="7678" width="7.625" style="545" customWidth="1"/>
    <col min="7679" max="7679" width="6.375" style="545" customWidth="1"/>
    <col min="7680" max="7680" width="6.25" style="545" customWidth="1"/>
    <col min="7681" max="7681" width="6.625" style="545" customWidth="1"/>
    <col min="7682" max="7682" width="4.875" style="545" customWidth="1"/>
    <col min="7683" max="7683" width="4.75" style="545" customWidth="1"/>
    <col min="7684" max="7684" width="6.75" style="545" customWidth="1"/>
    <col min="7685" max="7685" width="0" style="545" hidden="1" customWidth="1"/>
    <col min="7686" max="7686" width="4.375" style="545" customWidth="1"/>
    <col min="7687" max="7687" width="5.625" style="545" customWidth="1"/>
    <col min="7688" max="7688" width="5.375" style="545" customWidth="1"/>
    <col min="7689" max="7689" width="6.875" style="545" customWidth="1"/>
    <col min="7690" max="7690" width="5.125" style="545" customWidth="1"/>
    <col min="7691" max="7691" width="4.75" style="545" customWidth="1"/>
    <col min="7692" max="7692" width="5.625" style="545" customWidth="1"/>
    <col min="7693" max="7693" width="4.875" style="545" customWidth="1"/>
    <col min="7694" max="7694" width="5.25" style="545" customWidth="1"/>
    <col min="7695" max="7695" width="16.25" style="545" customWidth="1"/>
    <col min="7696" max="7696" width="9.25" style="545" customWidth="1"/>
    <col min="7697" max="7697" width="9.5" style="545" bestFit="1" customWidth="1"/>
    <col min="7698" max="7698" width="9.875" style="545" customWidth="1"/>
    <col min="7699" max="7700" width="10" style="545" customWidth="1"/>
    <col min="7701" max="7701" width="6.625" style="545" customWidth="1"/>
    <col min="7702" max="7702" width="6.5" style="545" customWidth="1"/>
    <col min="7703" max="7703" width="9" style="545"/>
    <col min="7704" max="7704" width="8.5" style="545" customWidth="1"/>
    <col min="7705" max="7705" width="6.375" style="545" customWidth="1"/>
    <col min="7706" max="7706" width="5.75" style="545" customWidth="1"/>
    <col min="7707" max="7707" width="12.625" style="545" customWidth="1"/>
    <col min="7708" max="7708" width="8.375" style="545" customWidth="1"/>
    <col min="7709" max="7709" width="24.875" style="545" customWidth="1"/>
    <col min="7710" max="7710" width="9" style="545"/>
    <col min="7711" max="7711" width="37.5" style="545" customWidth="1"/>
    <col min="7712" max="7928" width="9" style="545"/>
    <col min="7929" max="7930" width="3.75" style="545" customWidth="1"/>
    <col min="7931" max="7931" width="3.5" style="545" customWidth="1"/>
    <col min="7932" max="7932" width="3.875" style="545" customWidth="1"/>
    <col min="7933" max="7934" width="7.625" style="545" customWidth="1"/>
    <col min="7935" max="7935" width="6.375" style="545" customWidth="1"/>
    <col min="7936" max="7936" width="6.25" style="545" customWidth="1"/>
    <col min="7937" max="7937" width="6.625" style="545" customWidth="1"/>
    <col min="7938" max="7938" width="4.875" style="545" customWidth="1"/>
    <col min="7939" max="7939" width="4.75" style="545" customWidth="1"/>
    <col min="7940" max="7940" width="6.75" style="545" customWidth="1"/>
    <col min="7941" max="7941" width="0" style="545" hidden="1" customWidth="1"/>
    <col min="7942" max="7942" width="4.375" style="545" customWidth="1"/>
    <col min="7943" max="7943" width="5.625" style="545" customWidth="1"/>
    <col min="7944" max="7944" width="5.375" style="545" customWidth="1"/>
    <col min="7945" max="7945" width="6.875" style="545" customWidth="1"/>
    <col min="7946" max="7946" width="5.125" style="545" customWidth="1"/>
    <col min="7947" max="7947" width="4.75" style="545" customWidth="1"/>
    <col min="7948" max="7948" width="5.625" style="545" customWidth="1"/>
    <col min="7949" max="7949" width="4.875" style="545" customWidth="1"/>
    <col min="7950" max="7950" width="5.25" style="545" customWidth="1"/>
    <col min="7951" max="7951" width="16.25" style="545" customWidth="1"/>
    <col min="7952" max="7952" width="9.25" style="545" customWidth="1"/>
    <col min="7953" max="7953" width="9.5" style="545" bestFit="1" customWidth="1"/>
    <col min="7954" max="7954" width="9.875" style="545" customWidth="1"/>
    <col min="7955" max="7956" width="10" style="545" customWidth="1"/>
    <col min="7957" max="7957" width="6.625" style="545" customWidth="1"/>
    <col min="7958" max="7958" width="6.5" style="545" customWidth="1"/>
    <col min="7959" max="7959" width="9" style="545"/>
    <col min="7960" max="7960" width="8.5" style="545" customWidth="1"/>
    <col min="7961" max="7961" width="6.375" style="545" customWidth="1"/>
    <col min="7962" max="7962" width="5.75" style="545" customWidth="1"/>
    <col min="7963" max="7963" width="12.625" style="545" customWidth="1"/>
    <col min="7964" max="7964" width="8.375" style="545" customWidth="1"/>
    <col min="7965" max="7965" width="24.875" style="545" customWidth="1"/>
    <col min="7966" max="7966" width="9" style="545"/>
    <col min="7967" max="7967" width="37.5" style="545" customWidth="1"/>
    <col min="7968" max="8184" width="9" style="545"/>
    <col min="8185" max="8186" width="3.75" style="545" customWidth="1"/>
    <col min="8187" max="8187" width="3.5" style="545" customWidth="1"/>
    <col min="8188" max="8188" width="3.875" style="545" customWidth="1"/>
    <col min="8189" max="8190" width="7.625" style="545" customWidth="1"/>
    <col min="8191" max="8191" width="6.375" style="545" customWidth="1"/>
    <col min="8192" max="8192" width="6.25" style="545" customWidth="1"/>
    <col min="8193" max="8193" width="6.625" style="545" customWidth="1"/>
    <col min="8194" max="8194" width="4.875" style="545" customWidth="1"/>
    <col min="8195" max="8195" width="4.75" style="545" customWidth="1"/>
    <col min="8196" max="8196" width="6.75" style="545" customWidth="1"/>
    <col min="8197" max="8197" width="0" style="545" hidden="1" customWidth="1"/>
    <col min="8198" max="8198" width="4.375" style="545" customWidth="1"/>
    <col min="8199" max="8199" width="5.625" style="545" customWidth="1"/>
    <col min="8200" max="8200" width="5.375" style="545" customWidth="1"/>
    <col min="8201" max="8201" width="6.875" style="545" customWidth="1"/>
    <col min="8202" max="8202" width="5.125" style="545" customWidth="1"/>
    <col min="8203" max="8203" width="4.75" style="545" customWidth="1"/>
    <col min="8204" max="8204" width="5.625" style="545" customWidth="1"/>
    <col min="8205" max="8205" width="4.875" style="545" customWidth="1"/>
    <col min="8206" max="8206" width="5.25" style="545" customWidth="1"/>
    <col min="8207" max="8207" width="16.25" style="545" customWidth="1"/>
    <col min="8208" max="8208" width="9.25" style="545" customWidth="1"/>
    <col min="8209" max="8209" width="9.5" style="545" bestFit="1" customWidth="1"/>
    <col min="8210" max="8210" width="9.875" style="545" customWidth="1"/>
    <col min="8211" max="8212" width="10" style="545" customWidth="1"/>
    <col min="8213" max="8213" width="6.625" style="545" customWidth="1"/>
    <col min="8214" max="8214" width="6.5" style="545" customWidth="1"/>
    <col min="8215" max="8215" width="9" style="545"/>
    <col min="8216" max="8216" width="8.5" style="545" customWidth="1"/>
    <col min="8217" max="8217" width="6.375" style="545" customWidth="1"/>
    <col min="8218" max="8218" width="5.75" style="545" customWidth="1"/>
    <col min="8219" max="8219" width="12.625" style="545" customWidth="1"/>
    <col min="8220" max="8220" width="8.375" style="545" customWidth="1"/>
    <col min="8221" max="8221" width="24.875" style="545" customWidth="1"/>
    <col min="8222" max="8222" width="9" style="545"/>
    <col min="8223" max="8223" width="37.5" style="545" customWidth="1"/>
    <col min="8224" max="8440" width="9" style="545"/>
    <col min="8441" max="8442" width="3.75" style="545" customWidth="1"/>
    <col min="8443" max="8443" width="3.5" style="545" customWidth="1"/>
    <col min="8444" max="8444" width="3.875" style="545" customWidth="1"/>
    <col min="8445" max="8446" width="7.625" style="545" customWidth="1"/>
    <col min="8447" max="8447" width="6.375" style="545" customWidth="1"/>
    <col min="8448" max="8448" width="6.25" style="545" customWidth="1"/>
    <col min="8449" max="8449" width="6.625" style="545" customWidth="1"/>
    <col min="8450" max="8450" width="4.875" style="545" customWidth="1"/>
    <col min="8451" max="8451" width="4.75" style="545" customWidth="1"/>
    <col min="8452" max="8452" width="6.75" style="545" customWidth="1"/>
    <col min="8453" max="8453" width="0" style="545" hidden="1" customWidth="1"/>
    <col min="8454" max="8454" width="4.375" style="545" customWidth="1"/>
    <col min="8455" max="8455" width="5.625" style="545" customWidth="1"/>
    <col min="8456" max="8456" width="5.375" style="545" customWidth="1"/>
    <col min="8457" max="8457" width="6.875" style="545" customWidth="1"/>
    <col min="8458" max="8458" width="5.125" style="545" customWidth="1"/>
    <col min="8459" max="8459" width="4.75" style="545" customWidth="1"/>
    <col min="8460" max="8460" width="5.625" style="545" customWidth="1"/>
    <col min="8461" max="8461" width="4.875" style="545" customWidth="1"/>
    <col min="8462" max="8462" width="5.25" style="545" customWidth="1"/>
    <col min="8463" max="8463" width="16.25" style="545" customWidth="1"/>
    <col min="8464" max="8464" width="9.25" style="545" customWidth="1"/>
    <col min="8465" max="8465" width="9.5" style="545" bestFit="1" customWidth="1"/>
    <col min="8466" max="8466" width="9.875" style="545" customWidth="1"/>
    <col min="8467" max="8468" width="10" style="545" customWidth="1"/>
    <col min="8469" max="8469" width="6.625" style="545" customWidth="1"/>
    <col min="8470" max="8470" width="6.5" style="545" customWidth="1"/>
    <col min="8471" max="8471" width="9" style="545"/>
    <col min="8472" max="8472" width="8.5" style="545" customWidth="1"/>
    <col min="8473" max="8473" width="6.375" style="545" customWidth="1"/>
    <col min="8474" max="8474" width="5.75" style="545" customWidth="1"/>
    <col min="8475" max="8475" width="12.625" style="545" customWidth="1"/>
    <col min="8476" max="8476" width="8.375" style="545" customWidth="1"/>
    <col min="8477" max="8477" width="24.875" style="545" customWidth="1"/>
    <col min="8478" max="8478" width="9" style="545"/>
    <col min="8479" max="8479" width="37.5" style="545" customWidth="1"/>
    <col min="8480" max="8696" width="9" style="545"/>
    <col min="8697" max="8698" width="3.75" style="545" customWidth="1"/>
    <col min="8699" max="8699" width="3.5" style="545" customWidth="1"/>
    <col min="8700" max="8700" width="3.875" style="545" customWidth="1"/>
    <col min="8701" max="8702" width="7.625" style="545" customWidth="1"/>
    <col min="8703" max="8703" width="6.375" style="545" customWidth="1"/>
    <col min="8704" max="8704" width="6.25" style="545" customWidth="1"/>
    <col min="8705" max="8705" width="6.625" style="545" customWidth="1"/>
    <col min="8706" max="8706" width="4.875" style="545" customWidth="1"/>
    <col min="8707" max="8707" width="4.75" style="545" customWidth="1"/>
    <col min="8708" max="8708" width="6.75" style="545" customWidth="1"/>
    <col min="8709" max="8709" width="0" style="545" hidden="1" customWidth="1"/>
    <col min="8710" max="8710" width="4.375" style="545" customWidth="1"/>
    <col min="8711" max="8711" width="5.625" style="545" customWidth="1"/>
    <col min="8712" max="8712" width="5.375" style="545" customWidth="1"/>
    <col min="8713" max="8713" width="6.875" style="545" customWidth="1"/>
    <col min="8714" max="8714" width="5.125" style="545" customWidth="1"/>
    <col min="8715" max="8715" width="4.75" style="545" customWidth="1"/>
    <col min="8716" max="8716" width="5.625" style="545" customWidth="1"/>
    <col min="8717" max="8717" width="4.875" style="545" customWidth="1"/>
    <col min="8718" max="8718" width="5.25" style="545" customWidth="1"/>
    <col min="8719" max="8719" width="16.25" style="545" customWidth="1"/>
    <col min="8720" max="8720" width="9.25" style="545" customWidth="1"/>
    <col min="8721" max="8721" width="9.5" style="545" bestFit="1" customWidth="1"/>
    <col min="8722" max="8722" width="9.875" style="545" customWidth="1"/>
    <col min="8723" max="8724" width="10" style="545" customWidth="1"/>
    <col min="8725" max="8725" width="6.625" style="545" customWidth="1"/>
    <col min="8726" max="8726" width="6.5" style="545" customWidth="1"/>
    <col min="8727" max="8727" width="9" style="545"/>
    <col min="8728" max="8728" width="8.5" style="545" customWidth="1"/>
    <col min="8729" max="8729" width="6.375" style="545" customWidth="1"/>
    <col min="8730" max="8730" width="5.75" style="545" customWidth="1"/>
    <col min="8731" max="8731" width="12.625" style="545" customWidth="1"/>
    <col min="8732" max="8732" width="8.375" style="545" customWidth="1"/>
    <col min="8733" max="8733" width="24.875" style="545" customWidth="1"/>
    <col min="8734" max="8734" width="9" style="545"/>
    <col min="8735" max="8735" width="37.5" style="545" customWidth="1"/>
    <col min="8736" max="8952" width="9" style="545"/>
    <col min="8953" max="8954" width="3.75" style="545" customWidth="1"/>
    <col min="8955" max="8955" width="3.5" style="545" customWidth="1"/>
    <col min="8956" max="8956" width="3.875" style="545" customWidth="1"/>
    <col min="8957" max="8958" width="7.625" style="545" customWidth="1"/>
    <col min="8959" max="8959" width="6.375" style="545" customWidth="1"/>
    <col min="8960" max="8960" width="6.25" style="545" customWidth="1"/>
    <col min="8961" max="8961" width="6.625" style="545" customWidth="1"/>
    <col min="8962" max="8962" width="4.875" style="545" customWidth="1"/>
    <col min="8963" max="8963" width="4.75" style="545" customWidth="1"/>
    <col min="8964" max="8964" width="6.75" style="545" customWidth="1"/>
    <col min="8965" max="8965" width="0" style="545" hidden="1" customWidth="1"/>
    <col min="8966" max="8966" width="4.375" style="545" customWidth="1"/>
    <col min="8967" max="8967" width="5.625" style="545" customWidth="1"/>
    <col min="8968" max="8968" width="5.375" style="545" customWidth="1"/>
    <col min="8969" max="8969" width="6.875" style="545" customWidth="1"/>
    <col min="8970" max="8970" width="5.125" style="545" customWidth="1"/>
    <col min="8971" max="8971" width="4.75" style="545" customWidth="1"/>
    <col min="8972" max="8972" width="5.625" style="545" customWidth="1"/>
    <col min="8973" max="8973" width="4.875" style="545" customWidth="1"/>
    <col min="8974" max="8974" width="5.25" style="545" customWidth="1"/>
    <col min="8975" max="8975" width="16.25" style="545" customWidth="1"/>
    <col min="8976" max="8976" width="9.25" style="545" customWidth="1"/>
    <col min="8977" max="8977" width="9.5" style="545" bestFit="1" customWidth="1"/>
    <col min="8978" max="8978" width="9.875" style="545" customWidth="1"/>
    <col min="8979" max="8980" width="10" style="545" customWidth="1"/>
    <col min="8981" max="8981" width="6.625" style="545" customWidth="1"/>
    <col min="8982" max="8982" width="6.5" style="545" customWidth="1"/>
    <col min="8983" max="8983" width="9" style="545"/>
    <col min="8984" max="8984" width="8.5" style="545" customWidth="1"/>
    <col min="8985" max="8985" width="6.375" style="545" customWidth="1"/>
    <col min="8986" max="8986" width="5.75" style="545" customWidth="1"/>
    <col min="8987" max="8987" width="12.625" style="545" customWidth="1"/>
    <col min="8988" max="8988" width="8.375" style="545" customWidth="1"/>
    <col min="8989" max="8989" width="24.875" style="545" customWidth="1"/>
    <col min="8990" max="8990" width="9" style="545"/>
    <col min="8991" max="8991" width="37.5" style="545" customWidth="1"/>
    <col min="8992" max="9208" width="9" style="545"/>
    <col min="9209" max="9210" width="3.75" style="545" customWidth="1"/>
    <col min="9211" max="9211" width="3.5" style="545" customWidth="1"/>
    <col min="9212" max="9212" width="3.875" style="545" customWidth="1"/>
    <col min="9213" max="9214" width="7.625" style="545" customWidth="1"/>
    <col min="9215" max="9215" width="6.375" style="545" customWidth="1"/>
    <col min="9216" max="9216" width="6.25" style="545" customWidth="1"/>
    <col min="9217" max="9217" width="6.625" style="545" customWidth="1"/>
    <col min="9218" max="9218" width="4.875" style="545" customWidth="1"/>
    <col min="9219" max="9219" width="4.75" style="545" customWidth="1"/>
    <col min="9220" max="9220" width="6.75" style="545" customWidth="1"/>
    <col min="9221" max="9221" width="0" style="545" hidden="1" customWidth="1"/>
    <col min="9222" max="9222" width="4.375" style="545" customWidth="1"/>
    <col min="9223" max="9223" width="5.625" style="545" customWidth="1"/>
    <col min="9224" max="9224" width="5.375" style="545" customWidth="1"/>
    <col min="9225" max="9225" width="6.875" style="545" customWidth="1"/>
    <col min="9226" max="9226" width="5.125" style="545" customWidth="1"/>
    <col min="9227" max="9227" width="4.75" style="545" customWidth="1"/>
    <col min="9228" max="9228" width="5.625" style="545" customWidth="1"/>
    <col min="9229" max="9229" width="4.875" style="545" customWidth="1"/>
    <col min="9230" max="9230" width="5.25" style="545" customWidth="1"/>
    <col min="9231" max="9231" width="16.25" style="545" customWidth="1"/>
    <col min="9232" max="9232" width="9.25" style="545" customWidth="1"/>
    <col min="9233" max="9233" width="9.5" style="545" bestFit="1" customWidth="1"/>
    <col min="9234" max="9234" width="9.875" style="545" customWidth="1"/>
    <col min="9235" max="9236" width="10" style="545" customWidth="1"/>
    <col min="9237" max="9237" width="6.625" style="545" customWidth="1"/>
    <col min="9238" max="9238" width="6.5" style="545" customWidth="1"/>
    <col min="9239" max="9239" width="9" style="545"/>
    <col min="9240" max="9240" width="8.5" style="545" customWidth="1"/>
    <col min="9241" max="9241" width="6.375" style="545" customWidth="1"/>
    <col min="9242" max="9242" width="5.75" style="545" customWidth="1"/>
    <col min="9243" max="9243" width="12.625" style="545" customWidth="1"/>
    <col min="9244" max="9244" width="8.375" style="545" customWidth="1"/>
    <col min="9245" max="9245" width="24.875" style="545" customWidth="1"/>
    <col min="9246" max="9246" width="9" style="545"/>
    <col min="9247" max="9247" width="37.5" style="545" customWidth="1"/>
    <col min="9248" max="9464" width="9" style="545"/>
    <col min="9465" max="9466" width="3.75" style="545" customWidth="1"/>
    <col min="9467" max="9467" width="3.5" style="545" customWidth="1"/>
    <col min="9468" max="9468" width="3.875" style="545" customWidth="1"/>
    <col min="9469" max="9470" width="7.625" style="545" customWidth="1"/>
    <col min="9471" max="9471" width="6.375" style="545" customWidth="1"/>
    <col min="9472" max="9472" width="6.25" style="545" customWidth="1"/>
    <col min="9473" max="9473" width="6.625" style="545" customWidth="1"/>
    <col min="9474" max="9474" width="4.875" style="545" customWidth="1"/>
    <col min="9475" max="9475" width="4.75" style="545" customWidth="1"/>
    <col min="9476" max="9476" width="6.75" style="545" customWidth="1"/>
    <col min="9477" max="9477" width="0" style="545" hidden="1" customWidth="1"/>
    <col min="9478" max="9478" width="4.375" style="545" customWidth="1"/>
    <col min="9479" max="9479" width="5.625" style="545" customWidth="1"/>
    <col min="9480" max="9480" width="5.375" style="545" customWidth="1"/>
    <col min="9481" max="9481" width="6.875" style="545" customWidth="1"/>
    <col min="9482" max="9482" width="5.125" style="545" customWidth="1"/>
    <col min="9483" max="9483" width="4.75" style="545" customWidth="1"/>
    <col min="9484" max="9484" width="5.625" style="545" customWidth="1"/>
    <col min="9485" max="9485" width="4.875" style="545" customWidth="1"/>
    <col min="9486" max="9486" width="5.25" style="545" customWidth="1"/>
    <col min="9487" max="9487" width="16.25" style="545" customWidth="1"/>
    <col min="9488" max="9488" width="9.25" style="545" customWidth="1"/>
    <col min="9489" max="9489" width="9.5" style="545" bestFit="1" customWidth="1"/>
    <col min="9490" max="9490" width="9.875" style="545" customWidth="1"/>
    <col min="9491" max="9492" width="10" style="545" customWidth="1"/>
    <col min="9493" max="9493" width="6.625" style="545" customWidth="1"/>
    <col min="9494" max="9494" width="6.5" style="545" customWidth="1"/>
    <col min="9495" max="9495" width="9" style="545"/>
    <col min="9496" max="9496" width="8.5" style="545" customWidth="1"/>
    <col min="9497" max="9497" width="6.375" style="545" customWidth="1"/>
    <col min="9498" max="9498" width="5.75" style="545" customWidth="1"/>
    <col min="9499" max="9499" width="12.625" style="545" customWidth="1"/>
    <col min="9500" max="9500" width="8.375" style="545" customWidth="1"/>
    <col min="9501" max="9501" width="24.875" style="545" customWidth="1"/>
    <col min="9502" max="9502" width="9" style="545"/>
    <col min="9503" max="9503" width="37.5" style="545" customWidth="1"/>
    <col min="9504" max="9720" width="9" style="545"/>
    <col min="9721" max="9722" width="3.75" style="545" customWidth="1"/>
    <col min="9723" max="9723" width="3.5" style="545" customWidth="1"/>
    <col min="9724" max="9724" width="3.875" style="545" customWidth="1"/>
    <col min="9725" max="9726" width="7.625" style="545" customWidth="1"/>
    <col min="9727" max="9727" width="6.375" style="545" customWidth="1"/>
    <col min="9728" max="9728" width="6.25" style="545" customWidth="1"/>
    <col min="9729" max="9729" width="6.625" style="545" customWidth="1"/>
    <col min="9730" max="9730" width="4.875" style="545" customWidth="1"/>
    <col min="9731" max="9731" width="4.75" style="545" customWidth="1"/>
    <col min="9732" max="9732" width="6.75" style="545" customWidth="1"/>
    <col min="9733" max="9733" width="0" style="545" hidden="1" customWidth="1"/>
    <col min="9734" max="9734" width="4.375" style="545" customWidth="1"/>
    <col min="9735" max="9735" width="5.625" style="545" customWidth="1"/>
    <col min="9736" max="9736" width="5.375" style="545" customWidth="1"/>
    <col min="9737" max="9737" width="6.875" style="545" customWidth="1"/>
    <col min="9738" max="9738" width="5.125" style="545" customWidth="1"/>
    <col min="9739" max="9739" width="4.75" style="545" customWidth="1"/>
    <col min="9740" max="9740" width="5.625" style="545" customWidth="1"/>
    <col min="9741" max="9741" width="4.875" style="545" customWidth="1"/>
    <col min="9742" max="9742" width="5.25" style="545" customWidth="1"/>
    <col min="9743" max="9743" width="16.25" style="545" customWidth="1"/>
    <col min="9744" max="9744" width="9.25" style="545" customWidth="1"/>
    <col min="9745" max="9745" width="9.5" style="545" bestFit="1" customWidth="1"/>
    <col min="9746" max="9746" width="9.875" style="545" customWidth="1"/>
    <col min="9747" max="9748" width="10" style="545" customWidth="1"/>
    <col min="9749" max="9749" width="6.625" style="545" customWidth="1"/>
    <col min="9750" max="9750" width="6.5" style="545" customWidth="1"/>
    <col min="9751" max="9751" width="9" style="545"/>
    <col min="9752" max="9752" width="8.5" style="545" customWidth="1"/>
    <col min="9753" max="9753" width="6.375" style="545" customWidth="1"/>
    <col min="9754" max="9754" width="5.75" style="545" customWidth="1"/>
    <col min="9755" max="9755" width="12.625" style="545" customWidth="1"/>
    <col min="9756" max="9756" width="8.375" style="545" customWidth="1"/>
    <col min="9757" max="9757" width="24.875" style="545" customWidth="1"/>
    <col min="9758" max="9758" width="9" style="545"/>
    <col min="9759" max="9759" width="37.5" style="545" customWidth="1"/>
    <col min="9760" max="9976" width="9" style="545"/>
    <col min="9977" max="9978" width="3.75" style="545" customWidth="1"/>
    <col min="9979" max="9979" width="3.5" style="545" customWidth="1"/>
    <col min="9980" max="9980" width="3.875" style="545" customWidth="1"/>
    <col min="9981" max="9982" width="7.625" style="545" customWidth="1"/>
    <col min="9983" max="9983" width="6.375" style="545" customWidth="1"/>
    <col min="9984" max="9984" width="6.25" style="545" customWidth="1"/>
    <col min="9985" max="9985" width="6.625" style="545" customWidth="1"/>
    <col min="9986" max="9986" width="4.875" style="545" customWidth="1"/>
    <col min="9987" max="9987" width="4.75" style="545" customWidth="1"/>
    <col min="9988" max="9988" width="6.75" style="545" customWidth="1"/>
    <col min="9989" max="9989" width="0" style="545" hidden="1" customWidth="1"/>
    <col min="9990" max="9990" width="4.375" style="545" customWidth="1"/>
    <col min="9991" max="9991" width="5.625" style="545" customWidth="1"/>
    <col min="9992" max="9992" width="5.375" style="545" customWidth="1"/>
    <col min="9993" max="9993" width="6.875" style="545" customWidth="1"/>
    <col min="9994" max="9994" width="5.125" style="545" customWidth="1"/>
    <col min="9995" max="9995" width="4.75" style="545" customWidth="1"/>
    <col min="9996" max="9996" width="5.625" style="545" customWidth="1"/>
    <col min="9997" max="9997" width="4.875" style="545" customWidth="1"/>
    <col min="9998" max="9998" width="5.25" style="545" customWidth="1"/>
    <col min="9999" max="9999" width="16.25" style="545" customWidth="1"/>
    <col min="10000" max="10000" width="9.25" style="545" customWidth="1"/>
    <col min="10001" max="10001" width="9.5" style="545" bestFit="1" customWidth="1"/>
    <col min="10002" max="10002" width="9.875" style="545" customWidth="1"/>
    <col min="10003" max="10004" width="10" style="545" customWidth="1"/>
    <col min="10005" max="10005" width="6.625" style="545" customWidth="1"/>
    <col min="10006" max="10006" width="6.5" style="545" customWidth="1"/>
    <col min="10007" max="10007" width="9" style="545"/>
    <col min="10008" max="10008" width="8.5" style="545" customWidth="1"/>
    <col min="10009" max="10009" width="6.375" style="545" customWidth="1"/>
    <col min="10010" max="10010" width="5.75" style="545" customWidth="1"/>
    <col min="10011" max="10011" width="12.625" style="545" customWidth="1"/>
    <col min="10012" max="10012" width="8.375" style="545" customWidth="1"/>
    <col min="10013" max="10013" width="24.875" style="545" customWidth="1"/>
    <col min="10014" max="10014" width="9" style="545"/>
    <col min="10015" max="10015" width="37.5" style="545" customWidth="1"/>
    <col min="10016" max="10232" width="9" style="545"/>
    <col min="10233" max="10234" width="3.75" style="545" customWidth="1"/>
    <col min="10235" max="10235" width="3.5" style="545" customWidth="1"/>
    <col min="10236" max="10236" width="3.875" style="545" customWidth="1"/>
    <col min="10237" max="10238" width="7.625" style="545" customWidth="1"/>
    <col min="10239" max="10239" width="6.375" style="545" customWidth="1"/>
    <col min="10240" max="10240" width="6.25" style="545" customWidth="1"/>
    <col min="10241" max="10241" width="6.625" style="545" customWidth="1"/>
    <col min="10242" max="10242" width="4.875" style="545" customWidth="1"/>
    <col min="10243" max="10243" width="4.75" style="545" customWidth="1"/>
    <col min="10244" max="10244" width="6.75" style="545" customWidth="1"/>
    <col min="10245" max="10245" width="0" style="545" hidden="1" customWidth="1"/>
    <col min="10246" max="10246" width="4.375" style="545" customWidth="1"/>
    <col min="10247" max="10247" width="5.625" style="545" customWidth="1"/>
    <col min="10248" max="10248" width="5.375" style="545" customWidth="1"/>
    <col min="10249" max="10249" width="6.875" style="545" customWidth="1"/>
    <col min="10250" max="10250" width="5.125" style="545" customWidth="1"/>
    <col min="10251" max="10251" width="4.75" style="545" customWidth="1"/>
    <col min="10252" max="10252" width="5.625" style="545" customWidth="1"/>
    <col min="10253" max="10253" width="4.875" style="545" customWidth="1"/>
    <col min="10254" max="10254" width="5.25" style="545" customWidth="1"/>
    <col min="10255" max="10255" width="16.25" style="545" customWidth="1"/>
    <col min="10256" max="10256" width="9.25" style="545" customWidth="1"/>
    <col min="10257" max="10257" width="9.5" style="545" bestFit="1" customWidth="1"/>
    <col min="10258" max="10258" width="9.875" style="545" customWidth="1"/>
    <col min="10259" max="10260" width="10" style="545" customWidth="1"/>
    <col min="10261" max="10261" width="6.625" style="545" customWidth="1"/>
    <col min="10262" max="10262" width="6.5" style="545" customWidth="1"/>
    <col min="10263" max="10263" width="9" style="545"/>
    <col min="10264" max="10264" width="8.5" style="545" customWidth="1"/>
    <col min="10265" max="10265" width="6.375" style="545" customWidth="1"/>
    <col min="10266" max="10266" width="5.75" style="545" customWidth="1"/>
    <col min="10267" max="10267" width="12.625" style="545" customWidth="1"/>
    <col min="10268" max="10268" width="8.375" style="545" customWidth="1"/>
    <col min="10269" max="10269" width="24.875" style="545" customWidth="1"/>
    <col min="10270" max="10270" width="9" style="545"/>
    <col min="10271" max="10271" width="37.5" style="545" customWidth="1"/>
    <col min="10272" max="10488" width="9" style="545"/>
    <col min="10489" max="10490" width="3.75" style="545" customWidth="1"/>
    <col min="10491" max="10491" width="3.5" style="545" customWidth="1"/>
    <col min="10492" max="10492" width="3.875" style="545" customWidth="1"/>
    <col min="10493" max="10494" width="7.625" style="545" customWidth="1"/>
    <col min="10495" max="10495" width="6.375" style="545" customWidth="1"/>
    <col min="10496" max="10496" width="6.25" style="545" customWidth="1"/>
    <col min="10497" max="10497" width="6.625" style="545" customWidth="1"/>
    <col min="10498" max="10498" width="4.875" style="545" customWidth="1"/>
    <col min="10499" max="10499" width="4.75" style="545" customWidth="1"/>
    <col min="10500" max="10500" width="6.75" style="545" customWidth="1"/>
    <col min="10501" max="10501" width="0" style="545" hidden="1" customWidth="1"/>
    <col min="10502" max="10502" width="4.375" style="545" customWidth="1"/>
    <col min="10503" max="10503" width="5.625" style="545" customWidth="1"/>
    <col min="10504" max="10504" width="5.375" style="545" customWidth="1"/>
    <col min="10505" max="10505" width="6.875" style="545" customWidth="1"/>
    <col min="10506" max="10506" width="5.125" style="545" customWidth="1"/>
    <col min="10507" max="10507" width="4.75" style="545" customWidth="1"/>
    <col min="10508" max="10508" width="5.625" style="545" customWidth="1"/>
    <col min="10509" max="10509" width="4.875" style="545" customWidth="1"/>
    <col min="10510" max="10510" width="5.25" style="545" customWidth="1"/>
    <col min="10511" max="10511" width="16.25" style="545" customWidth="1"/>
    <col min="10512" max="10512" width="9.25" style="545" customWidth="1"/>
    <col min="10513" max="10513" width="9.5" style="545" bestFit="1" customWidth="1"/>
    <col min="10514" max="10514" width="9.875" style="545" customWidth="1"/>
    <col min="10515" max="10516" width="10" style="545" customWidth="1"/>
    <col min="10517" max="10517" width="6.625" style="545" customWidth="1"/>
    <col min="10518" max="10518" width="6.5" style="545" customWidth="1"/>
    <col min="10519" max="10519" width="9" style="545"/>
    <col min="10520" max="10520" width="8.5" style="545" customWidth="1"/>
    <col min="10521" max="10521" width="6.375" style="545" customWidth="1"/>
    <col min="10522" max="10522" width="5.75" style="545" customWidth="1"/>
    <col min="10523" max="10523" width="12.625" style="545" customWidth="1"/>
    <col min="10524" max="10524" width="8.375" style="545" customWidth="1"/>
    <col min="10525" max="10525" width="24.875" style="545" customWidth="1"/>
    <col min="10526" max="10526" width="9" style="545"/>
    <col min="10527" max="10527" width="37.5" style="545" customWidth="1"/>
    <col min="10528" max="10744" width="9" style="545"/>
    <col min="10745" max="10746" width="3.75" style="545" customWidth="1"/>
    <col min="10747" max="10747" width="3.5" style="545" customWidth="1"/>
    <col min="10748" max="10748" width="3.875" style="545" customWidth="1"/>
    <col min="10749" max="10750" width="7.625" style="545" customWidth="1"/>
    <col min="10751" max="10751" width="6.375" style="545" customWidth="1"/>
    <col min="10752" max="10752" width="6.25" style="545" customWidth="1"/>
    <col min="10753" max="10753" width="6.625" style="545" customWidth="1"/>
    <col min="10754" max="10754" width="4.875" style="545" customWidth="1"/>
    <col min="10755" max="10755" width="4.75" style="545" customWidth="1"/>
    <col min="10756" max="10756" width="6.75" style="545" customWidth="1"/>
    <col min="10757" max="10757" width="0" style="545" hidden="1" customWidth="1"/>
    <col min="10758" max="10758" width="4.375" style="545" customWidth="1"/>
    <col min="10759" max="10759" width="5.625" style="545" customWidth="1"/>
    <col min="10760" max="10760" width="5.375" style="545" customWidth="1"/>
    <col min="10761" max="10761" width="6.875" style="545" customWidth="1"/>
    <col min="10762" max="10762" width="5.125" style="545" customWidth="1"/>
    <col min="10763" max="10763" width="4.75" style="545" customWidth="1"/>
    <col min="10764" max="10764" width="5.625" style="545" customWidth="1"/>
    <col min="10765" max="10765" width="4.875" style="545" customWidth="1"/>
    <col min="10766" max="10766" width="5.25" style="545" customWidth="1"/>
    <col min="10767" max="10767" width="16.25" style="545" customWidth="1"/>
    <col min="10768" max="10768" width="9.25" style="545" customWidth="1"/>
    <col min="10769" max="10769" width="9.5" style="545" bestFit="1" customWidth="1"/>
    <col min="10770" max="10770" width="9.875" style="545" customWidth="1"/>
    <col min="10771" max="10772" width="10" style="545" customWidth="1"/>
    <col min="10773" max="10773" width="6.625" style="545" customWidth="1"/>
    <col min="10774" max="10774" width="6.5" style="545" customWidth="1"/>
    <col min="10775" max="10775" width="9" style="545"/>
    <col min="10776" max="10776" width="8.5" style="545" customWidth="1"/>
    <col min="10777" max="10777" width="6.375" style="545" customWidth="1"/>
    <col min="10778" max="10778" width="5.75" style="545" customWidth="1"/>
    <col min="10779" max="10779" width="12.625" style="545" customWidth="1"/>
    <col min="10780" max="10780" width="8.375" style="545" customWidth="1"/>
    <col min="10781" max="10781" width="24.875" style="545" customWidth="1"/>
    <col min="10782" max="10782" width="9" style="545"/>
    <col min="10783" max="10783" width="37.5" style="545" customWidth="1"/>
    <col min="10784" max="11000" width="9" style="545"/>
    <col min="11001" max="11002" width="3.75" style="545" customWidth="1"/>
    <col min="11003" max="11003" width="3.5" style="545" customWidth="1"/>
    <col min="11004" max="11004" width="3.875" style="545" customWidth="1"/>
    <col min="11005" max="11006" width="7.625" style="545" customWidth="1"/>
    <col min="11007" max="11007" width="6.375" style="545" customWidth="1"/>
    <col min="11008" max="11008" width="6.25" style="545" customWidth="1"/>
    <col min="11009" max="11009" width="6.625" style="545" customWidth="1"/>
    <col min="11010" max="11010" width="4.875" style="545" customWidth="1"/>
    <col min="11011" max="11011" width="4.75" style="545" customWidth="1"/>
    <col min="11012" max="11012" width="6.75" style="545" customWidth="1"/>
    <col min="11013" max="11013" width="0" style="545" hidden="1" customWidth="1"/>
    <col min="11014" max="11014" width="4.375" style="545" customWidth="1"/>
    <col min="11015" max="11015" width="5.625" style="545" customWidth="1"/>
    <col min="11016" max="11016" width="5.375" style="545" customWidth="1"/>
    <col min="11017" max="11017" width="6.875" style="545" customWidth="1"/>
    <col min="11018" max="11018" width="5.125" style="545" customWidth="1"/>
    <col min="11019" max="11019" width="4.75" style="545" customWidth="1"/>
    <col min="11020" max="11020" width="5.625" style="545" customWidth="1"/>
    <col min="11021" max="11021" width="4.875" style="545" customWidth="1"/>
    <col min="11022" max="11022" width="5.25" style="545" customWidth="1"/>
    <col min="11023" max="11023" width="16.25" style="545" customWidth="1"/>
    <col min="11024" max="11024" width="9.25" style="545" customWidth="1"/>
    <col min="11025" max="11025" width="9.5" style="545" bestFit="1" customWidth="1"/>
    <col min="11026" max="11026" width="9.875" style="545" customWidth="1"/>
    <col min="11027" max="11028" width="10" style="545" customWidth="1"/>
    <col min="11029" max="11029" width="6.625" style="545" customWidth="1"/>
    <col min="11030" max="11030" width="6.5" style="545" customWidth="1"/>
    <col min="11031" max="11031" width="9" style="545"/>
    <col min="11032" max="11032" width="8.5" style="545" customWidth="1"/>
    <col min="11033" max="11033" width="6.375" style="545" customWidth="1"/>
    <col min="11034" max="11034" width="5.75" style="545" customWidth="1"/>
    <col min="11035" max="11035" width="12.625" style="545" customWidth="1"/>
    <col min="11036" max="11036" width="8.375" style="545" customWidth="1"/>
    <col min="11037" max="11037" width="24.875" style="545" customWidth="1"/>
    <col min="11038" max="11038" width="9" style="545"/>
    <col min="11039" max="11039" width="37.5" style="545" customWidth="1"/>
    <col min="11040" max="11256" width="9" style="545"/>
    <col min="11257" max="11258" width="3.75" style="545" customWidth="1"/>
    <col min="11259" max="11259" width="3.5" style="545" customWidth="1"/>
    <col min="11260" max="11260" width="3.875" style="545" customWidth="1"/>
    <col min="11261" max="11262" width="7.625" style="545" customWidth="1"/>
    <col min="11263" max="11263" width="6.375" style="545" customWidth="1"/>
    <col min="11264" max="11264" width="6.25" style="545" customWidth="1"/>
    <col min="11265" max="11265" width="6.625" style="545" customWidth="1"/>
    <col min="11266" max="11266" width="4.875" style="545" customWidth="1"/>
    <col min="11267" max="11267" width="4.75" style="545" customWidth="1"/>
    <col min="11268" max="11268" width="6.75" style="545" customWidth="1"/>
    <col min="11269" max="11269" width="0" style="545" hidden="1" customWidth="1"/>
    <col min="11270" max="11270" width="4.375" style="545" customWidth="1"/>
    <col min="11271" max="11271" width="5.625" style="545" customWidth="1"/>
    <col min="11272" max="11272" width="5.375" style="545" customWidth="1"/>
    <col min="11273" max="11273" width="6.875" style="545" customWidth="1"/>
    <col min="11274" max="11274" width="5.125" style="545" customWidth="1"/>
    <col min="11275" max="11275" width="4.75" style="545" customWidth="1"/>
    <col min="11276" max="11276" width="5.625" style="545" customWidth="1"/>
    <col min="11277" max="11277" width="4.875" style="545" customWidth="1"/>
    <col min="11278" max="11278" width="5.25" style="545" customWidth="1"/>
    <col min="11279" max="11279" width="16.25" style="545" customWidth="1"/>
    <col min="11280" max="11280" width="9.25" style="545" customWidth="1"/>
    <col min="11281" max="11281" width="9.5" style="545" bestFit="1" customWidth="1"/>
    <col min="11282" max="11282" width="9.875" style="545" customWidth="1"/>
    <col min="11283" max="11284" width="10" style="545" customWidth="1"/>
    <col min="11285" max="11285" width="6.625" style="545" customWidth="1"/>
    <col min="11286" max="11286" width="6.5" style="545" customWidth="1"/>
    <col min="11287" max="11287" width="9" style="545"/>
    <col min="11288" max="11288" width="8.5" style="545" customWidth="1"/>
    <col min="11289" max="11289" width="6.375" style="545" customWidth="1"/>
    <col min="11290" max="11290" width="5.75" style="545" customWidth="1"/>
    <col min="11291" max="11291" width="12.625" style="545" customWidth="1"/>
    <col min="11292" max="11292" width="8.375" style="545" customWidth="1"/>
    <col min="11293" max="11293" width="24.875" style="545" customWidth="1"/>
    <col min="11294" max="11294" width="9" style="545"/>
    <col min="11295" max="11295" width="37.5" style="545" customWidth="1"/>
    <col min="11296" max="11512" width="9" style="545"/>
    <col min="11513" max="11514" width="3.75" style="545" customWidth="1"/>
    <col min="11515" max="11515" width="3.5" style="545" customWidth="1"/>
    <col min="11516" max="11516" width="3.875" style="545" customWidth="1"/>
    <col min="11517" max="11518" width="7.625" style="545" customWidth="1"/>
    <col min="11519" max="11519" width="6.375" style="545" customWidth="1"/>
    <col min="11520" max="11520" width="6.25" style="545" customWidth="1"/>
    <col min="11521" max="11521" width="6.625" style="545" customWidth="1"/>
    <col min="11522" max="11522" width="4.875" style="545" customWidth="1"/>
    <col min="11523" max="11523" width="4.75" style="545" customWidth="1"/>
    <col min="11524" max="11524" width="6.75" style="545" customWidth="1"/>
    <col min="11525" max="11525" width="0" style="545" hidden="1" customWidth="1"/>
    <col min="11526" max="11526" width="4.375" style="545" customWidth="1"/>
    <col min="11527" max="11527" width="5.625" style="545" customWidth="1"/>
    <col min="11528" max="11528" width="5.375" style="545" customWidth="1"/>
    <col min="11529" max="11529" width="6.875" style="545" customWidth="1"/>
    <col min="11530" max="11530" width="5.125" style="545" customWidth="1"/>
    <col min="11531" max="11531" width="4.75" style="545" customWidth="1"/>
    <col min="11532" max="11532" width="5.625" style="545" customWidth="1"/>
    <col min="11533" max="11533" width="4.875" style="545" customWidth="1"/>
    <col min="11534" max="11534" width="5.25" style="545" customWidth="1"/>
    <col min="11535" max="11535" width="16.25" style="545" customWidth="1"/>
    <col min="11536" max="11536" width="9.25" style="545" customWidth="1"/>
    <col min="11537" max="11537" width="9.5" style="545" bestFit="1" customWidth="1"/>
    <col min="11538" max="11538" width="9.875" style="545" customWidth="1"/>
    <col min="11539" max="11540" width="10" style="545" customWidth="1"/>
    <col min="11541" max="11541" width="6.625" style="545" customWidth="1"/>
    <col min="11542" max="11542" width="6.5" style="545" customWidth="1"/>
    <col min="11543" max="11543" width="9" style="545"/>
    <col min="11544" max="11544" width="8.5" style="545" customWidth="1"/>
    <col min="11545" max="11545" width="6.375" style="545" customWidth="1"/>
    <col min="11546" max="11546" width="5.75" style="545" customWidth="1"/>
    <col min="11547" max="11547" width="12.625" style="545" customWidth="1"/>
    <col min="11548" max="11548" width="8.375" style="545" customWidth="1"/>
    <col min="11549" max="11549" width="24.875" style="545" customWidth="1"/>
    <col min="11550" max="11550" width="9" style="545"/>
    <col min="11551" max="11551" width="37.5" style="545" customWidth="1"/>
    <col min="11552" max="11768" width="9" style="545"/>
    <col min="11769" max="11770" width="3.75" style="545" customWidth="1"/>
    <col min="11771" max="11771" width="3.5" style="545" customWidth="1"/>
    <col min="11772" max="11772" width="3.875" style="545" customWidth="1"/>
    <col min="11773" max="11774" width="7.625" style="545" customWidth="1"/>
    <col min="11775" max="11775" width="6.375" style="545" customWidth="1"/>
    <col min="11776" max="11776" width="6.25" style="545" customWidth="1"/>
    <col min="11777" max="11777" width="6.625" style="545" customWidth="1"/>
    <col min="11778" max="11778" width="4.875" style="545" customWidth="1"/>
    <col min="11779" max="11779" width="4.75" style="545" customWidth="1"/>
    <col min="11780" max="11780" width="6.75" style="545" customWidth="1"/>
    <col min="11781" max="11781" width="0" style="545" hidden="1" customWidth="1"/>
    <col min="11782" max="11782" width="4.375" style="545" customWidth="1"/>
    <col min="11783" max="11783" width="5.625" style="545" customWidth="1"/>
    <col min="11784" max="11784" width="5.375" style="545" customWidth="1"/>
    <col min="11785" max="11785" width="6.875" style="545" customWidth="1"/>
    <col min="11786" max="11786" width="5.125" style="545" customWidth="1"/>
    <col min="11787" max="11787" width="4.75" style="545" customWidth="1"/>
    <col min="11788" max="11788" width="5.625" style="545" customWidth="1"/>
    <col min="11789" max="11789" width="4.875" style="545" customWidth="1"/>
    <col min="11790" max="11790" width="5.25" style="545" customWidth="1"/>
    <col min="11791" max="11791" width="16.25" style="545" customWidth="1"/>
    <col min="11792" max="11792" width="9.25" style="545" customWidth="1"/>
    <col min="11793" max="11793" width="9.5" style="545" bestFit="1" customWidth="1"/>
    <col min="11794" max="11794" width="9.875" style="545" customWidth="1"/>
    <col min="11795" max="11796" width="10" style="545" customWidth="1"/>
    <col min="11797" max="11797" width="6.625" style="545" customWidth="1"/>
    <col min="11798" max="11798" width="6.5" style="545" customWidth="1"/>
    <col min="11799" max="11799" width="9" style="545"/>
    <col min="11800" max="11800" width="8.5" style="545" customWidth="1"/>
    <col min="11801" max="11801" width="6.375" style="545" customWidth="1"/>
    <col min="11802" max="11802" width="5.75" style="545" customWidth="1"/>
    <col min="11803" max="11803" width="12.625" style="545" customWidth="1"/>
    <col min="11804" max="11804" width="8.375" style="545" customWidth="1"/>
    <col min="11805" max="11805" width="24.875" style="545" customWidth="1"/>
    <col min="11806" max="11806" width="9" style="545"/>
    <col min="11807" max="11807" width="37.5" style="545" customWidth="1"/>
    <col min="11808" max="12024" width="9" style="545"/>
    <col min="12025" max="12026" width="3.75" style="545" customWidth="1"/>
    <col min="12027" max="12027" width="3.5" style="545" customWidth="1"/>
    <col min="12028" max="12028" width="3.875" style="545" customWidth="1"/>
    <col min="12029" max="12030" width="7.625" style="545" customWidth="1"/>
    <col min="12031" max="12031" width="6.375" style="545" customWidth="1"/>
    <col min="12032" max="12032" width="6.25" style="545" customWidth="1"/>
    <col min="12033" max="12033" width="6.625" style="545" customWidth="1"/>
    <col min="12034" max="12034" width="4.875" style="545" customWidth="1"/>
    <col min="12035" max="12035" width="4.75" style="545" customWidth="1"/>
    <col min="12036" max="12036" width="6.75" style="545" customWidth="1"/>
    <col min="12037" max="12037" width="0" style="545" hidden="1" customWidth="1"/>
    <col min="12038" max="12038" width="4.375" style="545" customWidth="1"/>
    <col min="12039" max="12039" width="5.625" style="545" customWidth="1"/>
    <col min="12040" max="12040" width="5.375" style="545" customWidth="1"/>
    <col min="12041" max="12041" width="6.875" style="545" customWidth="1"/>
    <col min="12042" max="12042" width="5.125" style="545" customWidth="1"/>
    <col min="12043" max="12043" width="4.75" style="545" customWidth="1"/>
    <col min="12044" max="12044" width="5.625" style="545" customWidth="1"/>
    <col min="12045" max="12045" width="4.875" style="545" customWidth="1"/>
    <col min="12046" max="12046" width="5.25" style="545" customWidth="1"/>
    <col min="12047" max="12047" width="16.25" style="545" customWidth="1"/>
    <col min="12048" max="12048" width="9.25" style="545" customWidth="1"/>
    <col min="12049" max="12049" width="9.5" style="545" bestFit="1" customWidth="1"/>
    <col min="12050" max="12050" width="9.875" style="545" customWidth="1"/>
    <col min="12051" max="12052" width="10" style="545" customWidth="1"/>
    <col min="12053" max="12053" width="6.625" style="545" customWidth="1"/>
    <col min="12054" max="12054" width="6.5" style="545" customWidth="1"/>
    <col min="12055" max="12055" width="9" style="545"/>
    <col min="12056" max="12056" width="8.5" style="545" customWidth="1"/>
    <col min="12057" max="12057" width="6.375" style="545" customWidth="1"/>
    <col min="12058" max="12058" width="5.75" style="545" customWidth="1"/>
    <col min="12059" max="12059" width="12.625" style="545" customWidth="1"/>
    <col min="12060" max="12060" width="8.375" style="545" customWidth="1"/>
    <col min="12061" max="12061" width="24.875" style="545" customWidth="1"/>
    <col min="12062" max="12062" width="9" style="545"/>
    <col min="12063" max="12063" width="37.5" style="545" customWidth="1"/>
    <col min="12064" max="12280" width="9" style="545"/>
    <col min="12281" max="12282" width="3.75" style="545" customWidth="1"/>
    <col min="12283" max="12283" width="3.5" style="545" customWidth="1"/>
    <col min="12284" max="12284" width="3.875" style="545" customWidth="1"/>
    <col min="12285" max="12286" width="7.625" style="545" customWidth="1"/>
    <col min="12287" max="12287" width="6.375" style="545" customWidth="1"/>
    <col min="12288" max="12288" width="6.25" style="545" customWidth="1"/>
    <col min="12289" max="12289" width="6.625" style="545" customWidth="1"/>
    <col min="12290" max="12290" width="4.875" style="545" customWidth="1"/>
    <col min="12291" max="12291" width="4.75" style="545" customWidth="1"/>
    <col min="12292" max="12292" width="6.75" style="545" customWidth="1"/>
    <col min="12293" max="12293" width="0" style="545" hidden="1" customWidth="1"/>
    <col min="12294" max="12294" width="4.375" style="545" customWidth="1"/>
    <col min="12295" max="12295" width="5.625" style="545" customWidth="1"/>
    <col min="12296" max="12296" width="5.375" style="545" customWidth="1"/>
    <col min="12297" max="12297" width="6.875" style="545" customWidth="1"/>
    <col min="12298" max="12298" width="5.125" style="545" customWidth="1"/>
    <col min="12299" max="12299" width="4.75" style="545" customWidth="1"/>
    <col min="12300" max="12300" width="5.625" style="545" customWidth="1"/>
    <col min="12301" max="12301" width="4.875" style="545" customWidth="1"/>
    <col min="12302" max="12302" width="5.25" style="545" customWidth="1"/>
    <col min="12303" max="12303" width="16.25" style="545" customWidth="1"/>
    <col min="12304" max="12304" width="9.25" style="545" customWidth="1"/>
    <col min="12305" max="12305" width="9.5" style="545" bestFit="1" customWidth="1"/>
    <col min="12306" max="12306" width="9.875" style="545" customWidth="1"/>
    <col min="12307" max="12308" width="10" style="545" customWidth="1"/>
    <col min="12309" max="12309" width="6.625" style="545" customWidth="1"/>
    <col min="12310" max="12310" width="6.5" style="545" customWidth="1"/>
    <col min="12311" max="12311" width="9" style="545"/>
    <col min="12312" max="12312" width="8.5" style="545" customWidth="1"/>
    <col min="12313" max="12313" width="6.375" style="545" customWidth="1"/>
    <col min="12314" max="12314" width="5.75" style="545" customWidth="1"/>
    <col min="12315" max="12315" width="12.625" style="545" customWidth="1"/>
    <col min="12316" max="12316" width="8.375" style="545" customWidth="1"/>
    <col min="12317" max="12317" width="24.875" style="545" customWidth="1"/>
    <col min="12318" max="12318" width="9" style="545"/>
    <col min="12319" max="12319" width="37.5" style="545" customWidth="1"/>
    <col min="12320" max="12536" width="9" style="545"/>
    <col min="12537" max="12538" width="3.75" style="545" customWidth="1"/>
    <col min="12539" max="12539" width="3.5" style="545" customWidth="1"/>
    <col min="12540" max="12540" width="3.875" style="545" customWidth="1"/>
    <col min="12541" max="12542" width="7.625" style="545" customWidth="1"/>
    <col min="12543" max="12543" width="6.375" style="545" customWidth="1"/>
    <col min="12544" max="12544" width="6.25" style="545" customWidth="1"/>
    <col min="12545" max="12545" width="6.625" style="545" customWidth="1"/>
    <col min="12546" max="12546" width="4.875" style="545" customWidth="1"/>
    <col min="12547" max="12547" width="4.75" style="545" customWidth="1"/>
    <col min="12548" max="12548" width="6.75" style="545" customWidth="1"/>
    <col min="12549" max="12549" width="0" style="545" hidden="1" customWidth="1"/>
    <col min="12550" max="12550" width="4.375" style="545" customWidth="1"/>
    <col min="12551" max="12551" width="5.625" style="545" customWidth="1"/>
    <col min="12552" max="12552" width="5.375" style="545" customWidth="1"/>
    <col min="12553" max="12553" width="6.875" style="545" customWidth="1"/>
    <col min="12554" max="12554" width="5.125" style="545" customWidth="1"/>
    <col min="12555" max="12555" width="4.75" style="545" customWidth="1"/>
    <col min="12556" max="12556" width="5.625" style="545" customWidth="1"/>
    <col min="12557" max="12557" width="4.875" style="545" customWidth="1"/>
    <col min="12558" max="12558" width="5.25" style="545" customWidth="1"/>
    <col min="12559" max="12559" width="16.25" style="545" customWidth="1"/>
    <col min="12560" max="12560" width="9.25" style="545" customWidth="1"/>
    <col min="12561" max="12561" width="9.5" style="545" bestFit="1" customWidth="1"/>
    <col min="12562" max="12562" width="9.875" style="545" customWidth="1"/>
    <col min="12563" max="12564" width="10" style="545" customWidth="1"/>
    <col min="12565" max="12565" width="6.625" style="545" customWidth="1"/>
    <col min="12566" max="12566" width="6.5" style="545" customWidth="1"/>
    <col min="12567" max="12567" width="9" style="545"/>
    <col min="12568" max="12568" width="8.5" style="545" customWidth="1"/>
    <col min="12569" max="12569" width="6.375" style="545" customWidth="1"/>
    <col min="12570" max="12570" width="5.75" style="545" customWidth="1"/>
    <col min="12571" max="12571" width="12.625" style="545" customWidth="1"/>
    <col min="12572" max="12572" width="8.375" style="545" customWidth="1"/>
    <col min="12573" max="12573" width="24.875" style="545" customWidth="1"/>
    <col min="12574" max="12574" width="9" style="545"/>
    <col min="12575" max="12575" width="37.5" style="545" customWidth="1"/>
    <col min="12576" max="12792" width="9" style="545"/>
    <col min="12793" max="12794" width="3.75" style="545" customWidth="1"/>
    <col min="12795" max="12795" width="3.5" style="545" customWidth="1"/>
    <col min="12796" max="12796" width="3.875" style="545" customWidth="1"/>
    <col min="12797" max="12798" width="7.625" style="545" customWidth="1"/>
    <col min="12799" max="12799" width="6.375" style="545" customWidth="1"/>
    <col min="12800" max="12800" width="6.25" style="545" customWidth="1"/>
    <col min="12801" max="12801" width="6.625" style="545" customWidth="1"/>
    <col min="12802" max="12802" width="4.875" style="545" customWidth="1"/>
    <col min="12803" max="12803" width="4.75" style="545" customWidth="1"/>
    <col min="12804" max="12804" width="6.75" style="545" customWidth="1"/>
    <col min="12805" max="12805" width="0" style="545" hidden="1" customWidth="1"/>
    <col min="12806" max="12806" width="4.375" style="545" customWidth="1"/>
    <col min="12807" max="12807" width="5.625" style="545" customWidth="1"/>
    <col min="12808" max="12808" width="5.375" style="545" customWidth="1"/>
    <col min="12809" max="12809" width="6.875" style="545" customWidth="1"/>
    <col min="12810" max="12810" width="5.125" style="545" customWidth="1"/>
    <col min="12811" max="12811" width="4.75" style="545" customWidth="1"/>
    <col min="12812" max="12812" width="5.625" style="545" customWidth="1"/>
    <col min="12813" max="12813" width="4.875" style="545" customWidth="1"/>
    <col min="12814" max="12814" width="5.25" style="545" customWidth="1"/>
    <col min="12815" max="12815" width="16.25" style="545" customWidth="1"/>
    <col min="12816" max="12816" width="9.25" style="545" customWidth="1"/>
    <col min="12817" max="12817" width="9.5" style="545" bestFit="1" customWidth="1"/>
    <col min="12818" max="12818" width="9.875" style="545" customWidth="1"/>
    <col min="12819" max="12820" width="10" style="545" customWidth="1"/>
    <col min="12821" max="12821" width="6.625" style="545" customWidth="1"/>
    <col min="12822" max="12822" width="6.5" style="545" customWidth="1"/>
    <col min="12823" max="12823" width="9" style="545"/>
    <col min="12824" max="12824" width="8.5" style="545" customWidth="1"/>
    <col min="12825" max="12825" width="6.375" style="545" customWidth="1"/>
    <col min="12826" max="12826" width="5.75" style="545" customWidth="1"/>
    <col min="12827" max="12827" width="12.625" style="545" customWidth="1"/>
    <col min="12828" max="12828" width="8.375" style="545" customWidth="1"/>
    <col min="12829" max="12829" width="24.875" style="545" customWidth="1"/>
    <col min="12830" max="12830" width="9" style="545"/>
    <col min="12831" max="12831" width="37.5" style="545" customWidth="1"/>
    <col min="12832" max="13048" width="9" style="545"/>
    <col min="13049" max="13050" width="3.75" style="545" customWidth="1"/>
    <col min="13051" max="13051" width="3.5" style="545" customWidth="1"/>
    <col min="13052" max="13052" width="3.875" style="545" customWidth="1"/>
    <col min="13053" max="13054" width="7.625" style="545" customWidth="1"/>
    <col min="13055" max="13055" width="6.375" style="545" customWidth="1"/>
    <col min="13056" max="13056" width="6.25" style="545" customWidth="1"/>
    <col min="13057" max="13057" width="6.625" style="545" customWidth="1"/>
    <col min="13058" max="13058" width="4.875" style="545" customWidth="1"/>
    <col min="13059" max="13059" width="4.75" style="545" customWidth="1"/>
    <col min="13060" max="13060" width="6.75" style="545" customWidth="1"/>
    <col min="13061" max="13061" width="0" style="545" hidden="1" customWidth="1"/>
    <col min="13062" max="13062" width="4.375" style="545" customWidth="1"/>
    <col min="13063" max="13063" width="5.625" style="545" customWidth="1"/>
    <col min="13064" max="13064" width="5.375" style="545" customWidth="1"/>
    <col min="13065" max="13065" width="6.875" style="545" customWidth="1"/>
    <col min="13066" max="13066" width="5.125" style="545" customWidth="1"/>
    <col min="13067" max="13067" width="4.75" style="545" customWidth="1"/>
    <col min="13068" max="13068" width="5.625" style="545" customWidth="1"/>
    <col min="13069" max="13069" width="4.875" style="545" customWidth="1"/>
    <col min="13070" max="13070" width="5.25" style="545" customWidth="1"/>
    <col min="13071" max="13071" width="16.25" style="545" customWidth="1"/>
    <col min="13072" max="13072" width="9.25" style="545" customWidth="1"/>
    <col min="13073" max="13073" width="9.5" style="545" bestFit="1" customWidth="1"/>
    <col min="13074" max="13074" width="9.875" style="545" customWidth="1"/>
    <col min="13075" max="13076" width="10" style="545" customWidth="1"/>
    <col min="13077" max="13077" width="6.625" style="545" customWidth="1"/>
    <col min="13078" max="13078" width="6.5" style="545" customWidth="1"/>
    <col min="13079" max="13079" width="9" style="545"/>
    <col min="13080" max="13080" width="8.5" style="545" customWidth="1"/>
    <col min="13081" max="13081" width="6.375" style="545" customWidth="1"/>
    <col min="13082" max="13082" width="5.75" style="545" customWidth="1"/>
    <col min="13083" max="13083" width="12.625" style="545" customWidth="1"/>
    <col min="13084" max="13084" width="8.375" style="545" customWidth="1"/>
    <col min="13085" max="13085" width="24.875" style="545" customWidth="1"/>
    <col min="13086" max="13086" width="9" style="545"/>
    <col min="13087" max="13087" width="37.5" style="545" customWidth="1"/>
    <col min="13088" max="13304" width="9" style="545"/>
    <col min="13305" max="13306" width="3.75" style="545" customWidth="1"/>
    <col min="13307" max="13307" width="3.5" style="545" customWidth="1"/>
    <col min="13308" max="13308" width="3.875" style="545" customWidth="1"/>
    <col min="13309" max="13310" width="7.625" style="545" customWidth="1"/>
    <col min="13311" max="13311" width="6.375" style="545" customWidth="1"/>
    <col min="13312" max="13312" width="6.25" style="545" customWidth="1"/>
    <col min="13313" max="13313" width="6.625" style="545" customWidth="1"/>
    <col min="13314" max="13314" width="4.875" style="545" customWidth="1"/>
    <col min="13315" max="13315" width="4.75" style="545" customWidth="1"/>
    <col min="13316" max="13316" width="6.75" style="545" customWidth="1"/>
    <col min="13317" max="13317" width="0" style="545" hidden="1" customWidth="1"/>
    <col min="13318" max="13318" width="4.375" style="545" customWidth="1"/>
    <col min="13319" max="13319" width="5.625" style="545" customWidth="1"/>
    <col min="13320" max="13320" width="5.375" style="545" customWidth="1"/>
    <col min="13321" max="13321" width="6.875" style="545" customWidth="1"/>
    <col min="13322" max="13322" width="5.125" style="545" customWidth="1"/>
    <col min="13323" max="13323" width="4.75" style="545" customWidth="1"/>
    <col min="13324" max="13324" width="5.625" style="545" customWidth="1"/>
    <col min="13325" max="13325" width="4.875" style="545" customWidth="1"/>
    <col min="13326" max="13326" width="5.25" style="545" customWidth="1"/>
    <col min="13327" max="13327" width="16.25" style="545" customWidth="1"/>
    <col min="13328" max="13328" width="9.25" style="545" customWidth="1"/>
    <col min="13329" max="13329" width="9.5" style="545" bestFit="1" customWidth="1"/>
    <col min="13330" max="13330" width="9.875" style="545" customWidth="1"/>
    <col min="13331" max="13332" width="10" style="545" customWidth="1"/>
    <col min="13333" max="13333" width="6.625" style="545" customWidth="1"/>
    <col min="13334" max="13334" width="6.5" style="545" customWidth="1"/>
    <col min="13335" max="13335" width="9" style="545"/>
    <col min="13336" max="13336" width="8.5" style="545" customWidth="1"/>
    <col min="13337" max="13337" width="6.375" style="545" customWidth="1"/>
    <col min="13338" max="13338" width="5.75" style="545" customWidth="1"/>
    <col min="13339" max="13339" width="12.625" style="545" customWidth="1"/>
    <col min="13340" max="13340" width="8.375" style="545" customWidth="1"/>
    <col min="13341" max="13341" width="24.875" style="545" customWidth="1"/>
    <col min="13342" max="13342" width="9" style="545"/>
    <col min="13343" max="13343" width="37.5" style="545" customWidth="1"/>
    <col min="13344" max="13560" width="9" style="545"/>
    <col min="13561" max="13562" width="3.75" style="545" customWidth="1"/>
    <col min="13563" max="13563" width="3.5" style="545" customWidth="1"/>
    <col min="13564" max="13564" width="3.875" style="545" customWidth="1"/>
    <col min="13565" max="13566" width="7.625" style="545" customWidth="1"/>
    <col min="13567" max="13567" width="6.375" style="545" customWidth="1"/>
    <col min="13568" max="13568" width="6.25" style="545" customWidth="1"/>
    <col min="13569" max="13569" width="6.625" style="545" customWidth="1"/>
    <col min="13570" max="13570" width="4.875" style="545" customWidth="1"/>
    <col min="13571" max="13571" width="4.75" style="545" customWidth="1"/>
    <col min="13572" max="13572" width="6.75" style="545" customWidth="1"/>
    <col min="13573" max="13573" width="0" style="545" hidden="1" customWidth="1"/>
    <col min="13574" max="13574" width="4.375" style="545" customWidth="1"/>
    <col min="13575" max="13575" width="5.625" style="545" customWidth="1"/>
    <col min="13576" max="13576" width="5.375" style="545" customWidth="1"/>
    <col min="13577" max="13577" width="6.875" style="545" customWidth="1"/>
    <col min="13578" max="13578" width="5.125" style="545" customWidth="1"/>
    <col min="13579" max="13579" width="4.75" style="545" customWidth="1"/>
    <col min="13580" max="13580" width="5.625" style="545" customWidth="1"/>
    <col min="13581" max="13581" width="4.875" style="545" customWidth="1"/>
    <col min="13582" max="13582" width="5.25" style="545" customWidth="1"/>
    <col min="13583" max="13583" width="16.25" style="545" customWidth="1"/>
    <col min="13584" max="13584" width="9.25" style="545" customWidth="1"/>
    <col min="13585" max="13585" width="9.5" style="545" bestFit="1" customWidth="1"/>
    <col min="13586" max="13586" width="9.875" style="545" customWidth="1"/>
    <col min="13587" max="13588" width="10" style="545" customWidth="1"/>
    <col min="13589" max="13589" width="6.625" style="545" customWidth="1"/>
    <col min="13590" max="13590" width="6.5" style="545" customWidth="1"/>
    <col min="13591" max="13591" width="9" style="545"/>
    <col min="13592" max="13592" width="8.5" style="545" customWidth="1"/>
    <col min="13593" max="13593" width="6.375" style="545" customWidth="1"/>
    <col min="13594" max="13594" width="5.75" style="545" customWidth="1"/>
    <col min="13595" max="13595" width="12.625" style="545" customWidth="1"/>
    <col min="13596" max="13596" width="8.375" style="545" customWidth="1"/>
    <col min="13597" max="13597" width="24.875" style="545" customWidth="1"/>
    <col min="13598" max="13598" width="9" style="545"/>
    <col min="13599" max="13599" width="37.5" style="545" customWidth="1"/>
    <col min="13600" max="13816" width="9" style="545"/>
    <col min="13817" max="13818" width="3.75" style="545" customWidth="1"/>
    <col min="13819" max="13819" width="3.5" style="545" customWidth="1"/>
    <col min="13820" max="13820" width="3.875" style="545" customWidth="1"/>
    <col min="13821" max="13822" width="7.625" style="545" customWidth="1"/>
    <col min="13823" max="13823" width="6.375" style="545" customWidth="1"/>
    <col min="13824" max="13824" width="6.25" style="545" customWidth="1"/>
    <col min="13825" max="13825" width="6.625" style="545" customWidth="1"/>
    <col min="13826" max="13826" width="4.875" style="545" customWidth="1"/>
    <col min="13827" max="13827" width="4.75" style="545" customWidth="1"/>
    <col min="13828" max="13828" width="6.75" style="545" customWidth="1"/>
    <col min="13829" max="13829" width="0" style="545" hidden="1" customWidth="1"/>
    <col min="13830" max="13830" width="4.375" style="545" customWidth="1"/>
    <col min="13831" max="13831" width="5.625" style="545" customWidth="1"/>
    <col min="13832" max="13832" width="5.375" style="545" customWidth="1"/>
    <col min="13833" max="13833" width="6.875" style="545" customWidth="1"/>
    <col min="13834" max="13834" width="5.125" style="545" customWidth="1"/>
    <col min="13835" max="13835" width="4.75" style="545" customWidth="1"/>
    <col min="13836" max="13836" width="5.625" style="545" customWidth="1"/>
    <col min="13837" max="13837" width="4.875" style="545" customWidth="1"/>
    <col min="13838" max="13838" width="5.25" style="545" customWidth="1"/>
    <col min="13839" max="13839" width="16.25" style="545" customWidth="1"/>
    <col min="13840" max="13840" width="9.25" style="545" customWidth="1"/>
    <col min="13841" max="13841" width="9.5" style="545" bestFit="1" customWidth="1"/>
    <col min="13842" max="13842" width="9.875" style="545" customWidth="1"/>
    <col min="13843" max="13844" width="10" style="545" customWidth="1"/>
    <col min="13845" max="13845" width="6.625" style="545" customWidth="1"/>
    <col min="13846" max="13846" width="6.5" style="545" customWidth="1"/>
    <col min="13847" max="13847" width="9" style="545"/>
    <col min="13848" max="13848" width="8.5" style="545" customWidth="1"/>
    <col min="13849" max="13849" width="6.375" style="545" customWidth="1"/>
    <col min="13850" max="13850" width="5.75" style="545" customWidth="1"/>
    <col min="13851" max="13851" width="12.625" style="545" customWidth="1"/>
    <col min="13852" max="13852" width="8.375" style="545" customWidth="1"/>
    <col min="13853" max="13853" width="24.875" style="545" customWidth="1"/>
    <col min="13854" max="13854" width="9" style="545"/>
    <col min="13855" max="13855" width="37.5" style="545" customWidth="1"/>
    <col min="13856" max="14072" width="9" style="545"/>
    <col min="14073" max="14074" width="3.75" style="545" customWidth="1"/>
    <col min="14075" max="14075" width="3.5" style="545" customWidth="1"/>
    <col min="14076" max="14076" width="3.875" style="545" customWidth="1"/>
    <col min="14077" max="14078" width="7.625" style="545" customWidth="1"/>
    <col min="14079" max="14079" width="6.375" style="545" customWidth="1"/>
    <col min="14080" max="14080" width="6.25" style="545" customWidth="1"/>
    <col min="14081" max="14081" width="6.625" style="545" customWidth="1"/>
    <col min="14082" max="14082" width="4.875" style="545" customWidth="1"/>
    <col min="14083" max="14083" width="4.75" style="545" customWidth="1"/>
    <col min="14084" max="14084" width="6.75" style="545" customWidth="1"/>
    <col min="14085" max="14085" width="0" style="545" hidden="1" customWidth="1"/>
    <col min="14086" max="14086" width="4.375" style="545" customWidth="1"/>
    <col min="14087" max="14087" width="5.625" style="545" customWidth="1"/>
    <col min="14088" max="14088" width="5.375" style="545" customWidth="1"/>
    <col min="14089" max="14089" width="6.875" style="545" customWidth="1"/>
    <col min="14090" max="14090" width="5.125" style="545" customWidth="1"/>
    <col min="14091" max="14091" width="4.75" style="545" customWidth="1"/>
    <col min="14092" max="14092" width="5.625" style="545" customWidth="1"/>
    <col min="14093" max="14093" width="4.875" style="545" customWidth="1"/>
    <col min="14094" max="14094" width="5.25" style="545" customWidth="1"/>
    <col min="14095" max="14095" width="16.25" style="545" customWidth="1"/>
    <col min="14096" max="14096" width="9.25" style="545" customWidth="1"/>
    <col min="14097" max="14097" width="9.5" style="545" bestFit="1" customWidth="1"/>
    <col min="14098" max="14098" width="9.875" style="545" customWidth="1"/>
    <col min="14099" max="14100" width="10" style="545" customWidth="1"/>
    <col min="14101" max="14101" width="6.625" style="545" customWidth="1"/>
    <col min="14102" max="14102" width="6.5" style="545" customWidth="1"/>
    <col min="14103" max="14103" width="9" style="545"/>
    <col min="14104" max="14104" width="8.5" style="545" customWidth="1"/>
    <col min="14105" max="14105" width="6.375" style="545" customWidth="1"/>
    <col min="14106" max="14106" width="5.75" style="545" customWidth="1"/>
    <col min="14107" max="14107" width="12.625" style="545" customWidth="1"/>
    <col min="14108" max="14108" width="8.375" style="545" customWidth="1"/>
    <col min="14109" max="14109" width="24.875" style="545" customWidth="1"/>
    <col min="14110" max="14110" width="9" style="545"/>
    <col min="14111" max="14111" width="37.5" style="545" customWidth="1"/>
    <col min="14112" max="14328" width="9" style="545"/>
    <col min="14329" max="14330" width="3.75" style="545" customWidth="1"/>
    <col min="14331" max="14331" width="3.5" style="545" customWidth="1"/>
    <col min="14332" max="14332" width="3.875" style="545" customWidth="1"/>
    <col min="14333" max="14334" width="7.625" style="545" customWidth="1"/>
    <col min="14335" max="14335" width="6.375" style="545" customWidth="1"/>
    <col min="14336" max="14336" width="6.25" style="545" customWidth="1"/>
    <col min="14337" max="14337" width="6.625" style="545" customWidth="1"/>
    <col min="14338" max="14338" width="4.875" style="545" customWidth="1"/>
    <col min="14339" max="14339" width="4.75" style="545" customWidth="1"/>
    <col min="14340" max="14340" width="6.75" style="545" customWidth="1"/>
    <col min="14341" max="14341" width="0" style="545" hidden="1" customWidth="1"/>
    <col min="14342" max="14342" width="4.375" style="545" customWidth="1"/>
    <col min="14343" max="14343" width="5.625" style="545" customWidth="1"/>
    <col min="14344" max="14344" width="5.375" style="545" customWidth="1"/>
    <col min="14345" max="14345" width="6.875" style="545" customWidth="1"/>
    <col min="14346" max="14346" width="5.125" style="545" customWidth="1"/>
    <col min="14347" max="14347" width="4.75" style="545" customWidth="1"/>
    <col min="14348" max="14348" width="5.625" style="545" customWidth="1"/>
    <col min="14349" max="14349" width="4.875" style="545" customWidth="1"/>
    <col min="14350" max="14350" width="5.25" style="545" customWidth="1"/>
    <col min="14351" max="14351" width="16.25" style="545" customWidth="1"/>
    <col min="14352" max="14352" width="9.25" style="545" customWidth="1"/>
    <col min="14353" max="14353" width="9.5" style="545" bestFit="1" customWidth="1"/>
    <col min="14354" max="14354" width="9.875" style="545" customWidth="1"/>
    <col min="14355" max="14356" width="10" style="545" customWidth="1"/>
    <col min="14357" max="14357" width="6.625" style="545" customWidth="1"/>
    <col min="14358" max="14358" width="6.5" style="545" customWidth="1"/>
    <col min="14359" max="14359" width="9" style="545"/>
    <col min="14360" max="14360" width="8.5" style="545" customWidth="1"/>
    <col min="14361" max="14361" width="6.375" style="545" customWidth="1"/>
    <col min="14362" max="14362" width="5.75" style="545" customWidth="1"/>
    <col min="14363" max="14363" width="12.625" style="545" customWidth="1"/>
    <col min="14364" max="14364" width="8.375" style="545" customWidth="1"/>
    <col min="14365" max="14365" width="24.875" style="545" customWidth="1"/>
    <col min="14366" max="14366" width="9" style="545"/>
    <col min="14367" max="14367" width="37.5" style="545" customWidth="1"/>
    <col min="14368" max="14584" width="9" style="545"/>
    <col min="14585" max="14586" width="3.75" style="545" customWidth="1"/>
    <col min="14587" max="14587" width="3.5" style="545" customWidth="1"/>
    <col min="14588" max="14588" width="3.875" style="545" customWidth="1"/>
    <col min="14589" max="14590" width="7.625" style="545" customWidth="1"/>
    <col min="14591" max="14591" width="6.375" style="545" customWidth="1"/>
    <col min="14592" max="14592" width="6.25" style="545" customWidth="1"/>
    <col min="14593" max="14593" width="6.625" style="545" customWidth="1"/>
    <col min="14594" max="14594" width="4.875" style="545" customWidth="1"/>
    <col min="14595" max="14595" width="4.75" style="545" customWidth="1"/>
    <col min="14596" max="14596" width="6.75" style="545" customWidth="1"/>
    <col min="14597" max="14597" width="0" style="545" hidden="1" customWidth="1"/>
    <col min="14598" max="14598" width="4.375" style="545" customWidth="1"/>
    <col min="14599" max="14599" width="5.625" style="545" customWidth="1"/>
    <col min="14600" max="14600" width="5.375" style="545" customWidth="1"/>
    <col min="14601" max="14601" width="6.875" style="545" customWidth="1"/>
    <col min="14602" max="14602" width="5.125" style="545" customWidth="1"/>
    <col min="14603" max="14603" width="4.75" style="545" customWidth="1"/>
    <col min="14604" max="14604" width="5.625" style="545" customWidth="1"/>
    <col min="14605" max="14605" width="4.875" style="545" customWidth="1"/>
    <col min="14606" max="14606" width="5.25" style="545" customWidth="1"/>
    <col min="14607" max="14607" width="16.25" style="545" customWidth="1"/>
    <col min="14608" max="14608" width="9.25" style="545" customWidth="1"/>
    <col min="14609" max="14609" width="9.5" style="545" bestFit="1" customWidth="1"/>
    <col min="14610" max="14610" width="9.875" style="545" customWidth="1"/>
    <col min="14611" max="14612" width="10" style="545" customWidth="1"/>
    <col min="14613" max="14613" width="6.625" style="545" customWidth="1"/>
    <col min="14614" max="14614" width="6.5" style="545" customWidth="1"/>
    <col min="14615" max="14615" width="9" style="545"/>
    <col min="14616" max="14616" width="8.5" style="545" customWidth="1"/>
    <col min="14617" max="14617" width="6.375" style="545" customWidth="1"/>
    <col min="14618" max="14618" width="5.75" style="545" customWidth="1"/>
    <col min="14619" max="14619" width="12.625" style="545" customWidth="1"/>
    <col min="14620" max="14620" width="8.375" style="545" customWidth="1"/>
    <col min="14621" max="14621" width="24.875" style="545" customWidth="1"/>
    <col min="14622" max="14622" width="9" style="545"/>
    <col min="14623" max="14623" width="37.5" style="545" customWidth="1"/>
    <col min="14624" max="14840" width="9" style="545"/>
    <col min="14841" max="14842" width="3.75" style="545" customWidth="1"/>
    <col min="14843" max="14843" width="3.5" style="545" customWidth="1"/>
    <col min="14844" max="14844" width="3.875" style="545" customWidth="1"/>
    <col min="14845" max="14846" width="7.625" style="545" customWidth="1"/>
    <col min="14847" max="14847" width="6.375" style="545" customWidth="1"/>
    <col min="14848" max="14848" width="6.25" style="545" customWidth="1"/>
    <col min="14849" max="14849" width="6.625" style="545" customWidth="1"/>
    <col min="14850" max="14850" width="4.875" style="545" customWidth="1"/>
    <col min="14851" max="14851" width="4.75" style="545" customWidth="1"/>
    <col min="14852" max="14852" width="6.75" style="545" customWidth="1"/>
    <col min="14853" max="14853" width="0" style="545" hidden="1" customWidth="1"/>
    <col min="14854" max="14854" width="4.375" style="545" customWidth="1"/>
    <col min="14855" max="14855" width="5.625" style="545" customWidth="1"/>
    <col min="14856" max="14856" width="5.375" style="545" customWidth="1"/>
    <col min="14857" max="14857" width="6.875" style="545" customWidth="1"/>
    <col min="14858" max="14858" width="5.125" style="545" customWidth="1"/>
    <col min="14859" max="14859" width="4.75" style="545" customWidth="1"/>
    <col min="14860" max="14860" width="5.625" style="545" customWidth="1"/>
    <col min="14861" max="14861" width="4.875" style="545" customWidth="1"/>
    <col min="14862" max="14862" width="5.25" style="545" customWidth="1"/>
    <col min="14863" max="14863" width="16.25" style="545" customWidth="1"/>
    <col min="14864" max="14864" width="9.25" style="545" customWidth="1"/>
    <col min="14865" max="14865" width="9.5" style="545" bestFit="1" customWidth="1"/>
    <col min="14866" max="14866" width="9.875" style="545" customWidth="1"/>
    <col min="14867" max="14868" width="10" style="545" customWidth="1"/>
    <col min="14869" max="14869" width="6.625" style="545" customWidth="1"/>
    <col min="14870" max="14870" width="6.5" style="545" customWidth="1"/>
    <col min="14871" max="14871" width="9" style="545"/>
    <col min="14872" max="14872" width="8.5" style="545" customWidth="1"/>
    <col min="14873" max="14873" width="6.375" style="545" customWidth="1"/>
    <col min="14874" max="14874" width="5.75" style="545" customWidth="1"/>
    <col min="14875" max="14875" width="12.625" style="545" customWidth="1"/>
    <col min="14876" max="14876" width="8.375" style="545" customWidth="1"/>
    <col min="14877" max="14877" width="24.875" style="545" customWidth="1"/>
    <col min="14878" max="14878" width="9" style="545"/>
    <col min="14879" max="14879" width="37.5" style="545" customWidth="1"/>
    <col min="14880" max="15096" width="9" style="545"/>
    <col min="15097" max="15098" width="3.75" style="545" customWidth="1"/>
    <col min="15099" max="15099" width="3.5" style="545" customWidth="1"/>
    <col min="15100" max="15100" width="3.875" style="545" customWidth="1"/>
    <col min="15101" max="15102" width="7.625" style="545" customWidth="1"/>
    <col min="15103" max="15103" width="6.375" style="545" customWidth="1"/>
    <col min="15104" max="15104" width="6.25" style="545" customWidth="1"/>
    <col min="15105" max="15105" width="6.625" style="545" customWidth="1"/>
    <col min="15106" max="15106" width="4.875" style="545" customWidth="1"/>
    <col min="15107" max="15107" width="4.75" style="545" customWidth="1"/>
    <col min="15108" max="15108" width="6.75" style="545" customWidth="1"/>
    <col min="15109" max="15109" width="0" style="545" hidden="1" customWidth="1"/>
    <col min="15110" max="15110" width="4.375" style="545" customWidth="1"/>
    <col min="15111" max="15111" width="5.625" style="545" customWidth="1"/>
    <col min="15112" max="15112" width="5.375" style="545" customWidth="1"/>
    <col min="15113" max="15113" width="6.875" style="545" customWidth="1"/>
    <col min="15114" max="15114" width="5.125" style="545" customWidth="1"/>
    <col min="15115" max="15115" width="4.75" style="545" customWidth="1"/>
    <col min="15116" max="15116" width="5.625" style="545" customWidth="1"/>
    <col min="15117" max="15117" width="4.875" style="545" customWidth="1"/>
    <col min="15118" max="15118" width="5.25" style="545" customWidth="1"/>
    <col min="15119" max="15119" width="16.25" style="545" customWidth="1"/>
    <col min="15120" max="15120" width="9.25" style="545" customWidth="1"/>
    <col min="15121" max="15121" width="9.5" style="545" bestFit="1" customWidth="1"/>
    <col min="15122" max="15122" width="9.875" style="545" customWidth="1"/>
    <col min="15123" max="15124" width="10" style="545" customWidth="1"/>
    <col min="15125" max="15125" width="6.625" style="545" customWidth="1"/>
    <col min="15126" max="15126" width="6.5" style="545" customWidth="1"/>
    <col min="15127" max="15127" width="9" style="545"/>
    <col min="15128" max="15128" width="8.5" style="545" customWidth="1"/>
    <col min="15129" max="15129" width="6.375" style="545" customWidth="1"/>
    <col min="15130" max="15130" width="5.75" style="545" customWidth="1"/>
    <col min="15131" max="15131" width="12.625" style="545" customWidth="1"/>
    <col min="15132" max="15132" width="8.375" style="545" customWidth="1"/>
    <col min="15133" max="15133" width="24.875" style="545" customWidth="1"/>
    <col min="15134" max="15134" width="9" style="545"/>
    <col min="15135" max="15135" width="37.5" style="545" customWidth="1"/>
    <col min="15136" max="15352" width="9" style="545"/>
    <col min="15353" max="15354" width="3.75" style="545" customWidth="1"/>
    <col min="15355" max="15355" width="3.5" style="545" customWidth="1"/>
    <col min="15356" max="15356" width="3.875" style="545" customWidth="1"/>
    <col min="15357" max="15358" width="7.625" style="545" customWidth="1"/>
    <col min="15359" max="15359" width="6.375" style="545" customWidth="1"/>
    <col min="15360" max="15360" width="6.25" style="545" customWidth="1"/>
    <col min="15361" max="15361" width="6.625" style="545" customWidth="1"/>
    <col min="15362" max="15362" width="4.875" style="545" customWidth="1"/>
    <col min="15363" max="15363" width="4.75" style="545" customWidth="1"/>
    <col min="15364" max="15364" width="6.75" style="545" customWidth="1"/>
    <col min="15365" max="15365" width="0" style="545" hidden="1" customWidth="1"/>
    <col min="15366" max="15366" width="4.375" style="545" customWidth="1"/>
    <col min="15367" max="15367" width="5.625" style="545" customWidth="1"/>
    <col min="15368" max="15368" width="5.375" style="545" customWidth="1"/>
    <col min="15369" max="15369" width="6.875" style="545" customWidth="1"/>
    <col min="15370" max="15370" width="5.125" style="545" customWidth="1"/>
    <col min="15371" max="15371" width="4.75" style="545" customWidth="1"/>
    <col min="15372" max="15372" width="5.625" style="545" customWidth="1"/>
    <col min="15373" max="15373" width="4.875" style="545" customWidth="1"/>
    <col min="15374" max="15374" width="5.25" style="545" customWidth="1"/>
    <col min="15375" max="15375" width="16.25" style="545" customWidth="1"/>
    <col min="15376" max="15376" width="9.25" style="545" customWidth="1"/>
    <col min="15377" max="15377" width="9.5" style="545" bestFit="1" customWidth="1"/>
    <col min="15378" max="15378" width="9.875" style="545" customWidth="1"/>
    <col min="15379" max="15380" width="10" style="545" customWidth="1"/>
    <col min="15381" max="15381" width="6.625" style="545" customWidth="1"/>
    <col min="15382" max="15382" width="6.5" style="545" customWidth="1"/>
    <col min="15383" max="15383" width="9" style="545"/>
    <col min="15384" max="15384" width="8.5" style="545" customWidth="1"/>
    <col min="15385" max="15385" width="6.375" style="545" customWidth="1"/>
    <col min="15386" max="15386" width="5.75" style="545" customWidth="1"/>
    <col min="15387" max="15387" width="12.625" style="545" customWidth="1"/>
    <col min="15388" max="15388" width="8.375" style="545" customWidth="1"/>
    <col min="15389" max="15389" width="24.875" style="545" customWidth="1"/>
    <col min="15390" max="15390" width="9" style="545"/>
    <col min="15391" max="15391" width="37.5" style="545" customWidth="1"/>
    <col min="15392" max="15608" width="9" style="545"/>
    <col min="15609" max="15610" width="3.75" style="545" customWidth="1"/>
    <col min="15611" max="15611" width="3.5" style="545" customWidth="1"/>
    <col min="15612" max="15612" width="3.875" style="545" customWidth="1"/>
    <col min="15613" max="15614" width="7.625" style="545" customWidth="1"/>
    <col min="15615" max="15615" width="6.375" style="545" customWidth="1"/>
    <col min="15616" max="15616" width="6.25" style="545" customWidth="1"/>
    <col min="15617" max="15617" width="6.625" style="545" customWidth="1"/>
    <col min="15618" max="15618" width="4.875" style="545" customWidth="1"/>
    <col min="15619" max="15619" width="4.75" style="545" customWidth="1"/>
    <col min="15620" max="15620" width="6.75" style="545" customWidth="1"/>
    <col min="15621" max="15621" width="0" style="545" hidden="1" customWidth="1"/>
    <col min="15622" max="15622" width="4.375" style="545" customWidth="1"/>
    <col min="15623" max="15623" width="5.625" style="545" customWidth="1"/>
    <col min="15624" max="15624" width="5.375" style="545" customWidth="1"/>
    <col min="15625" max="15625" width="6.875" style="545" customWidth="1"/>
    <col min="15626" max="15626" width="5.125" style="545" customWidth="1"/>
    <col min="15627" max="15627" width="4.75" style="545" customWidth="1"/>
    <col min="15628" max="15628" width="5.625" style="545" customWidth="1"/>
    <col min="15629" max="15629" width="4.875" style="545" customWidth="1"/>
    <col min="15630" max="15630" width="5.25" style="545" customWidth="1"/>
    <col min="15631" max="15631" width="16.25" style="545" customWidth="1"/>
    <col min="15632" max="15632" width="9.25" style="545" customWidth="1"/>
    <col min="15633" max="15633" width="9.5" style="545" bestFit="1" customWidth="1"/>
    <col min="15634" max="15634" width="9.875" style="545" customWidth="1"/>
    <col min="15635" max="15636" width="10" style="545" customWidth="1"/>
    <col min="15637" max="15637" width="6.625" style="545" customWidth="1"/>
    <col min="15638" max="15638" width="6.5" style="545" customWidth="1"/>
    <col min="15639" max="15639" width="9" style="545"/>
    <col min="15640" max="15640" width="8.5" style="545" customWidth="1"/>
    <col min="15641" max="15641" width="6.375" style="545" customWidth="1"/>
    <col min="15642" max="15642" width="5.75" style="545" customWidth="1"/>
    <col min="15643" max="15643" width="12.625" style="545" customWidth="1"/>
    <col min="15644" max="15644" width="8.375" style="545" customWidth="1"/>
    <col min="15645" max="15645" width="24.875" style="545" customWidth="1"/>
    <col min="15646" max="15646" width="9" style="545"/>
    <col min="15647" max="15647" width="37.5" style="545" customWidth="1"/>
    <col min="15648" max="15864" width="9" style="545"/>
    <col min="15865" max="15866" width="3.75" style="545" customWidth="1"/>
    <col min="15867" max="15867" width="3.5" style="545" customWidth="1"/>
    <col min="15868" max="15868" width="3.875" style="545" customWidth="1"/>
    <col min="15869" max="15870" width="7.625" style="545" customWidth="1"/>
    <col min="15871" max="15871" width="6.375" style="545" customWidth="1"/>
    <col min="15872" max="15872" width="6.25" style="545" customWidth="1"/>
    <col min="15873" max="15873" width="6.625" style="545" customWidth="1"/>
    <col min="15874" max="15874" width="4.875" style="545" customWidth="1"/>
    <col min="15875" max="15875" width="4.75" style="545" customWidth="1"/>
    <col min="15876" max="15876" width="6.75" style="545" customWidth="1"/>
    <col min="15877" max="15877" width="0" style="545" hidden="1" customWidth="1"/>
    <col min="15878" max="15878" width="4.375" style="545" customWidth="1"/>
    <col min="15879" max="15879" width="5.625" style="545" customWidth="1"/>
    <col min="15880" max="15880" width="5.375" style="545" customWidth="1"/>
    <col min="15881" max="15881" width="6.875" style="545" customWidth="1"/>
    <col min="15882" max="15882" width="5.125" style="545" customWidth="1"/>
    <col min="15883" max="15883" width="4.75" style="545" customWidth="1"/>
    <col min="15884" max="15884" width="5.625" style="545" customWidth="1"/>
    <col min="15885" max="15885" width="4.875" style="545" customWidth="1"/>
    <col min="15886" max="15886" width="5.25" style="545" customWidth="1"/>
    <col min="15887" max="15887" width="16.25" style="545" customWidth="1"/>
    <col min="15888" max="15888" width="9.25" style="545" customWidth="1"/>
    <col min="15889" max="15889" width="9.5" style="545" bestFit="1" customWidth="1"/>
    <col min="15890" max="15890" width="9.875" style="545" customWidth="1"/>
    <col min="15891" max="15892" width="10" style="545" customWidth="1"/>
    <col min="15893" max="15893" width="6.625" style="545" customWidth="1"/>
    <col min="15894" max="15894" width="6.5" style="545" customWidth="1"/>
    <col min="15895" max="15895" width="9" style="545"/>
    <col min="15896" max="15896" width="8.5" style="545" customWidth="1"/>
    <col min="15897" max="15897" width="6.375" style="545" customWidth="1"/>
    <col min="15898" max="15898" width="5.75" style="545" customWidth="1"/>
    <col min="15899" max="15899" width="12.625" style="545" customWidth="1"/>
    <col min="15900" max="15900" width="8.375" style="545" customWidth="1"/>
    <col min="15901" max="15901" width="24.875" style="545" customWidth="1"/>
    <col min="15902" max="15902" width="9" style="545"/>
    <col min="15903" max="15903" width="37.5" style="545" customWidth="1"/>
    <col min="15904" max="16120" width="9" style="545"/>
    <col min="16121" max="16122" width="3.75" style="545" customWidth="1"/>
    <col min="16123" max="16123" width="3.5" style="545" customWidth="1"/>
    <col min="16124" max="16124" width="3.875" style="545" customWidth="1"/>
    <col min="16125" max="16126" width="7.625" style="545" customWidth="1"/>
    <col min="16127" max="16127" width="6.375" style="545" customWidth="1"/>
    <col min="16128" max="16128" width="6.25" style="545" customWidth="1"/>
    <col min="16129" max="16129" width="6.625" style="545" customWidth="1"/>
    <col min="16130" max="16130" width="4.875" style="545" customWidth="1"/>
    <col min="16131" max="16131" width="4.75" style="545" customWidth="1"/>
    <col min="16132" max="16132" width="6.75" style="545" customWidth="1"/>
    <col min="16133" max="16133" width="0" style="545" hidden="1" customWidth="1"/>
    <col min="16134" max="16134" width="4.375" style="545" customWidth="1"/>
    <col min="16135" max="16135" width="5.625" style="545" customWidth="1"/>
    <col min="16136" max="16136" width="5.375" style="545" customWidth="1"/>
    <col min="16137" max="16137" width="6.875" style="545" customWidth="1"/>
    <col min="16138" max="16138" width="5.125" style="545" customWidth="1"/>
    <col min="16139" max="16139" width="4.75" style="545" customWidth="1"/>
    <col min="16140" max="16140" width="5.625" style="545" customWidth="1"/>
    <col min="16141" max="16141" width="4.875" style="545" customWidth="1"/>
    <col min="16142" max="16142" width="5.25" style="545" customWidth="1"/>
    <col min="16143" max="16143" width="16.25" style="545" customWidth="1"/>
    <col min="16144" max="16144" width="9.25" style="545" customWidth="1"/>
    <col min="16145" max="16145" width="9.5" style="545" bestFit="1" customWidth="1"/>
    <col min="16146" max="16146" width="9.875" style="545" customWidth="1"/>
    <col min="16147" max="16148" width="10" style="545" customWidth="1"/>
    <col min="16149" max="16149" width="6.625" style="545" customWidth="1"/>
    <col min="16150" max="16150" width="6.5" style="545" customWidth="1"/>
    <col min="16151" max="16151" width="9" style="545"/>
    <col min="16152" max="16152" width="8.5" style="545" customWidth="1"/>
    <col min="16153" max="16153" width="6.375" style="545" customWidth="1"/>
    <col min="16154" max="16154" width="5.75" style="545" customWidth="1"/>
    <col min="16155" max="16155" width="12.625" style="545" customWidth="1"/>
    <col min="16156" max="16156" width="8.375" style="545" customWidth="1"/>
    <col min="16157" max="16157" width="24.875" style="545" customWidth="1"/>
    <col min="16158" max="16158" width="9" style="545"/>
    <col min="16159" max="16159" width="37.5" style="545" customWidth="1"/>
    <col min="16160" max="16384" width="9" style="545"/>
  </cols>
  <sheetData>
    <row r="1" spans="1:22" ht="20.100000000000001" customHeight="1">
      <c r="A1" s="761" t="str">
        <f>G1&amp;I1</f>
        <v>领料单——香草天空Ⅱ</v>
      </c>
      <c r="B1" s="761"/>
      <c r="C1" s="761"/>
      <c r="D1" s="761"/>
      <c r="E1" s="761"/>
      <c r="F1" s="761"/>
      <c r="G1" s="764" t="s">
        <v>1261</v>
      </c>
      <c r="H1" s="765"/>
      <c r="I1" s="619" t="str">
        <f>吸塑门板单!G3</f>
        <v>香草天空Ⅱ</v>
      </c>
      <c r="J1" s="614"/>
      <c r="K1" s="544"/>
      <c r="L1" s="763"/>
      <c r="M1" s="763"/>
      <c r="N1" s="763"/>
      <c r="O1" s="763"/>
      <c r="P1" s="763"/>
    </row>
    <row r="2" spans="1:22" ht="20.100000000000001" customHeight="1">
      <c r="A2" s="623"/>
      <c r="B2" s="622" t="s">
        <v>481</v>
      </c>
      <c r="C2" s="622">
        <f>吸塑门板单!B2</f>
        <v>0</v>
      </c>
      <c r="D2" s="623" t="s">
        <v>1258</v>
      </c>
      <c r="E2" s="622">
        <f>吸塑门板单!D2</f>
        <v>0</v>
      </c>
      <c r="F2" s="622"/>
      <c r="G2" s="770" t="s">
        <v>1262</v>
      </c>
      <c r="H2" s="771"/>
      <c r="I2" s="620" t="s">
        <v>1263</v>
      </c>
      <c r="J2" s="567"/>
      <c r="L2" s="547" t="s">
        <v>478</v>
      </c>
      <c r="M2" s="547" t="s">
        <v>479</v>
      </c>
      <c r="N2" s="548" t="s">
        <v>463</v>
      </c>
      <c r="O2" s="549" t="s">
        <v>1201</v>
      </c>
    </row>
    <row r="3" spans="1:22" ht="20.100000000000001" customHeight="1">
      <c r="A3" s="623"/>
      <c r="B3" s="622" t="s">
        <v>1243</v>
      </c>
      <c r="C3" s="662">
        <f>吸塑门板单!K2</f>
        <v>0</v>
      </c>
      <c r="D3" s="622" t="str">
        <f>吸塑门板单!L2</f>
        <v>版本型录号</v>
      </c>
      <c r="E3" s="622">
        <f>吸塑门板单!M2</f>
        <v>0</v>
      </c>
      <c r="F3" s="622"/>
      <c r="G3" s="567"/>
      <c r="H3" s="567"/>
      <c r="I3" s="567"/>
      <c r="J3" s="567"/>
      <c r="L3" s="551"/>
      <c r="M3" s="551"/>
      <c r="N3" s="548"/>
      <c r="O3" s="549">
        <f>+L3*M3*N3/1000000</f>
        <v>0</v>
      </c>
    </row>
    <row r="4" spans="1:22" ht="20.100000000000001" customHeight="1">
      <c r="A4" s="623"/>
      <c r="B4" s="622"/>
      <c r="C4" s="622"/>
      <c r="D4" s="622"/>
      <c r="E4" s="622"/>
      <c r="F4" s="622"/>
      <c r="G4" s="616"/>
      <c r="H4" s="616"/>
      <c r="I4" s="616"/>
      <c r="J4" s="616"/>
      <c r="K4" s="552"/>
      <c r="L4" s="546"/>
      <c r="M4" s="546"/>
      <c r="P4" s="768" t="s">
        <v>939</v>
      </c>
      <c r="Q4" s="768"/>
      <c r="R4" s="553" t="s">
        <v>1128</v>
      </c>
      <c r="S4" s="766" t="s">
        <v>1129</v>
      </c>
      <c r="T4" s="767"/>
      <c r="U4" s="554" t="s">
        <v>25</v>
      </c>
      <c r="V4" s="554">
        <v>0.5</v>
      </c>
    </row>
    <row r="5" spans="1:22" ht="39.950000000000003" customHeight="1">
      <c r="A5" s="622" t="s">
        <v>482</v>
      </c>
      <c r="B5" s="622" t="s">
        <v>483</v>
      </c>
      <c r="C5" s="622" t="s">
        <v>1259</v>
      </c>
      <c r="D5" s="622" t="s">
        <v>484</v>
      </c>
      <c r="E5" s="622" t="s">
        <v>463</v>
      </c>
      <c r="F5" s="622" t="s">
        <v>1291</v>
      </c>
      <c r="G5" s="567"/>
      <c r="H5" s="567"/>
      <c r="I5" s="567"/>
      <c r="J5" s="567"/>
      <c r="K5" s="552"/>
      <c r="L5" s="548" t="s">
        <v>1215</v>
      </c>
      <c r="M5" s="549">
        <v>0.75</v>
      </c>
      <c r="P5" s="768" t="s">
        <v>939</v>
      </c>
      <c r="Q5" s="768"/>
      <c r="R5" s="553" t="s">
        <v>1130</v>
      </c>
      <c r="S5" s="766" t="s">
        <v>1131</v>
      </c>
      <c r="T5" s="769"/>
      <c r="U5" s="554" t="s">
        <v>357</v>
      </c>
      <c r="V5" s="554">
        <v>0.5</v>
      </c>
    </row>
    <row r="6" spans="1:22" ht="39.950000000000003" customHeight="1">
      <c r="A6" s="760" t="s">
        <v>485</v>
      </c>
      <c r="B6" s="622">
        <v>1</v>
      </c>
      <c r="C6" s="622" t="str">
        <f>VLOOKUP(吸塑门板单!B4,吸塑门板单!X:AE,2,0)</f>
        <v>米黄麻单贴三聚氰胺E1级镂铣中密度板18*1220*2440</v>
      </c>
      <c r="D6" s="622" t="s">
        <v>486</v>
      </c>
      <c r="E6" s="564">
        <f>吸塑门板单!P51-吸塑门板单!P42-吸塑门板单!P43-吸塑门板单!P44-吸塑门板单!P45-吸塑门板单!P47</f>
        <v>0</v>
      </c>
      <c r="F6" s="564"/>
      <c r="G6" s="615"/>
      <c r="H6" s="615"/>
      <c r="I6" s="615"/>
      <c r="J6" s="615"/>
      <c r="L6" s="548" t="s">
        <v>1216</v>
      </c>
      <c r="M6" s="549">
        <v>0.75</v>
      </c>
    </row>
    <row r="7" spans="1:22" ht="39.950000000000003" customHeight="1">
      <c r="A7" s="760"/>
      <c r="B7" s="622">
        <v>2</v>
      </c>
      <c r="C7" s="622" t="str">
        <f>VLOOKUP(吸塑门板单!B4,吸塑门板单!X:AF,9,0)</f>
        <v>米黄麻单贴三聚氰胺E1级镂铣中密度板25*1220*2440</v>
      </c>
      <c r="D7" s="622" t="s">
        <v>486</v>
      </c>
      <c r="E7" s="564">
        <f>吸塑门板单!P42+吸塑门板单!P43+吸塑门板单!P44+吸塑门板单!P45+吸塑门板单!P46+吸塑门板单!P47</f>
        <v>0</v>
      </c>
      <c r="F7" s="564"/>
      <c r="G7" s="615"/>
      <c r="H7" s="615"/>
      <c r="I7" s="615"/>
      <c r="J7" s="615"/>
      <c r="L7" s="548" t="s">
        <v>1217</v>
      </c>
      <c r="M7" s="549">
        <v>0.75</v>
      </c>
      <c r="P7" s="768" t="str">
        <f>+'[7]2014-2-28现存量'!$C$889</f>
        <v>尼龙胀塞8*60</v>
      </c>
      <c r="Q7" s="768"/>
      <c r="R7" s="768"/>
      <c r="S7" s="554" t="s">
        <v>1133</v>
      </c>
      <c r="T7" s="554">
        <f>+T8</f>
        <v>4</v>
      </c>
    </row>
    <row r="8" spans="1:22" ht="39.950000000000003" customHeight="1">
      <c r="A8" s="760"/>
      <c r="B8" s="622"/>
      <c r="C8" s="622"/>
      <c r="D8" s="622"/>
      <c r="E8" s="622"/>
      <c r="F8" s="622"/>
      <c r="G8" s="567"/>
      <c r="H8" s="567"/>
      <c r="I8" s="567"/>
      <c r="J8" s="567"/>
      <c r="P8" s="772" t="s">
        <v>1223</v>
      </c>
      <c r="Q8" s="772"/>
      <c r="R8" s="772"/>
      <c r="S8" s="555" t="s">
        <v>1002</v>
      </c>
      <c r="T8" s="554">
        <v>4</v>
      </c>
    </row>
    <row r="9" spans="1:22" ht="20.100000000000001" customHeight="1">
      <c r="A9" s="760" t="s">
        <v>489</v>
      </c>
      <c r="B9" s="622">
        <v>1</v>
      </c>
      <c r="C9" s="623" t="str">
        <f>G9&amp;I9</f>
        <v>玉砂玻璃5*1830*2440</v>
      </c>
      <c r="D9" s="622" t="s">
        <v>480</v>
      </c>
      <c r="E9" s="566">
        <f>O3/0.75</f>
        <v>0</v>
      </c>
      <c r="F9" s="566"/>
      <c r="G9" s="785" t="s">
        <v>1214</v>
      </c>
      <c r="H9" s="786"/>
      <c r="I9" s="618" t="s">
        <v>1264</v>
      </c>
      <c r="J9" s="618"/>
      <c r="L9" s="556" t="s">
        <v>1218</v>
      </c>
      <c r="M9" s="557">
        <v>0.8</v>
      </c>
      <c r="P9" s="768" t="s">
        <v>1132</v>
      </c>
      <c r="Q9" s="768"/>
      <c r="R9" s="768"/>
      <c r="S9" s="554" t="s">
        <v>1133</v>
      </c>
      <c r="T9" s="554">
        <f>+T8*3</f>
        <v>12</v>
      </c>
    </row>
    <row r="10" spans="1:22" ht="20.100000000000001" customHeight="1">
      <c r="A10" s="760"/>
      <c r="B10" s="622">
        <v>2</v>
      </c>
      <c r="C10" s="622" t="str">
        <f>VLOOKUP(吸塑门板单!B4,吸塑门板单!X:AE,5,0)</f>
        <v>米黄麻玻璃压条</v>
      </c>
      <c r="D10" s="622" t="s">
        <v>492</v>
      </c>
      <c r="E10" s="566">
        <f>吸塑门板单!Q51</f>
        <v>0</v>
      </c>
      <c r="F10" s="566"/>
      <c r="G10" s="618"/>
      <c r="H10" s="618"/>
      <c r="I10" s="618"/>
      <c r="J10" s="618"/>
      <c r="L10" s="558" t="s">
        <v>1219</v>
      </c>
      <c r="M10" s="559">
        <v>0.8</v>
      </c>
    </row>
    <row r="11" spans="1:22" ht="20.100000000000001" customHeight="1">
      <c r="A11" s="760"/>
      <c r="B11" s="622">
        <v>3</v>
      </c>
      <c r="C11" s="623" t="str">
        <f>G11&amp;I11</f>
        <v>波音软片（米黄）</v>
      </c>
      <c r="D11" s="622" t="s">
        <v>480</v>
      </c>
      <c r="E11" s="566">
        <f>O3/0.8</f>
        <v>0</v>
      </c>
      <c r="F11" s="566"/>
      <c r="G11" s="787" t="s">
        <v>1219</v>
      </c>
      <c r="H11" s="788"/>
      <c r="I11" s="618" t="str">
        <f>VLOOKUP(吸塑门板单!B4,吸塑门板单!X:AE,7,0)</f>
        <v>（米黄）</v>
      </c>
      <c r="J11" s="618"/>
      <c r="O11" s="560"/>
      <c r="P11" s="773" t="s">
        <v>1134</v>
      </c>
      <c r="Q11" s="774"/>
      <c r="R11" s="775"/>
      <c r="S11" s="782" t="s">
        <v>1135</v>
      </c>
      <c r="T11" s="783"/>
      <c r="U11" s="561">
        <v>0.42524999999999996</v>
      </c>
      <c r="V11" s="554" t="s">
        <v>980</v>
      </c>
    </row>
    <row r="12" spans="1:22" ht="20.100000000000001" customHeight="1">
      <c r="A12" s="760"/>
      <c r="B12" s="622"/>
      <c r="C12" s="622"/>
      <c r="D12" s="622"/>
      <c r="E12" s="622"/>
      <c r="F12" s="622"/>
      <c r="G12" s="567"/>
      <c r="H12" s="567"/>
      <c r="I12" s="567"/>
      <c r="J12" s="567"/>
      <c r="O12" s="560"/>
      <c r="P12" s="776"/>
      <c r="Q12" s="777"/>
      <c r="R12" s="778"/>
      <c r="S12" s="782" t="s">
        <v>1136</v>
      </c>
      <c r="T12" s="783"/>
      <c r="U12" s="561">
        <v>0.21262500000000001</v>
      </c>
      <c r="V12" s="554" t="s">
        <v>980</v>
      </c>
    </row>
    <row r="13" spans="1:22" ht="20.100000000000001" customHeight="1">
      <c r="A13" s="760"/>
      <c r="B13" s="622"/>
      <c r="C13" s="622"/>
      <c r="D13" s="622"/>
      <c r="E13" s="622"/>
      <c r="F13" s="622"/>
      <c r="G13" s="567"/>
      <c r="H13" s="567"/>
      <c r="I13" s="567"/>
      <c r="J13" s="567"/>
      <c r="O13" s="560"/>
      <c r="P13" s="776"/>
      <c r="Q13" s="777"/>
      <c r="R13" s="778"/>
      <c r="S13" s="773" t="s">
        <v>1137</v>
      </c>
      <c r="T13" s="775"/>
      <c r="U13" s="762">
        <v>0.29767500000000002</v>
      </c>
      <c r="V13" s="768" t="s">
        <v>980</v>
      </c>
    </row>
    <row r="14" spans="1:22" ht="20.100000000000001" customHeight="1">
      <c r="A14" s="760"/>
      <c r="B14" s="622"/>
      <c r="C14" s="622"/>
      <c r="D14" s="622"/>
      <c r="E14" s="622"/>
      <c r="F14" s="622"/>
      <c r="G14" s="567"/>
      <c r="H14" s="567"/>
      <c r="I14" s="567"/>
      <c r="J14" s="567"/>
      <c r="O14" s="560"/>
      <c r="P14" s="779"/>
      <c r="Q14" s="780"/>
      <c r="R14" s="781"/>
      <c r="S14" s="779"/>
      <c r="T14" s="781"/>
      <c r="U14" s="762"/>
      <c r="V14" s="768"/>
    </row>
    <row r="15" spans="1:22" ht="20.100000000000001" customHeight="1">
      <c r="A15" s="760"/>
      <c r="B15" s="622"/>
      <c r="C15" s="622"/>
      <c r="D15" s="622"/>
      <c r="E15" s="622"/>
      <c r="F15" s="622"/>
      <c r="G15" s="567"/>
      <c r="H15" s="567"/>
      <c r="I15" s="567"/>
      <c r="J15" s="567"/>
      <c r="O15" s="560"/>
    </row>
    <row r="16" spans="1:22" ht="20.100000000000001" customHeight="1">
      <c r="A16" s="760"/>
      <c r="B16" s="622"/>
      <c r="C16" s="622"/>
      <c r="D16" s="622"/>
      <c r="E16" s="622"/>
      <c r="F16" s="622"/>
      <c r="G16" s="567"/>
      <c r="H16" s="567"/>
      <c r="I16" s="567"/>
      <c r="J16" s="567"/>
      <c r="P16" s="790"/>
      <c r="Q16" s="790"/>
      <c r="R16" s="790"/>
      <c r="S16" s="790"/>
      <c r="T16" s="790"/>
      <c r="U16" s="562"/>
      <c r="V16" s="562"/>
    </row>
    <row r="17" spans="1:22" ht="20.100000000000001" customHeight="1">
      <c r="A17" s="760" t="s">
        <v>487</v>
      </c>
      <c r="B17" s="622">
        <v>1</v>
      </c>
      <c r="C17" s="661" t="str">
        <f>VLOOKUP(吸塑门板单!B4,吸塑门板单!X:AE,4,0)</f>
        <v>米黄麻吸塑膜0.35MM*1450MM(YEL2959)</v>
      </c>
      <c r="D17" s="564">
        <f>吸塑门板单!O53</f>
        <v>0</v>
      </c>
      <c r="E17" s="622" t="s">
        <v>480</v>
      </c>
      <c r="F17" s="622"/>
      <c r="G17" s="790"/>
      <c r="H17" s="790"/>
      <c r="I17" s="567"/>
      <c r="J17" s="567"/>
      <c r="P17" s="567"/>
      <c r="Q17" s="567"/>
      <c r="R17" s="567"/>
      <c r="S17" s="567"/>
      <c r="T17" s="567"/>
      <c r="U17" s="562"/>
      <c r="V17" s="562"/>
    </row>
    <row r="18" spans="1:22" ht="20.100000000000001" customHeight="1">
      <c r="A18" s="760"/>
      <c r="B18" s="760">
        <v>2</v>
      </c>
      <c r="C18" s="658" t="s">
        <v>1308</v>
      </c>
      <c r="D18" s="565">
        <f>吸塑门板单!S52</f>
        <v>0</v>
      </c>
      <c r="E18" s="622" t="s">
        <v>488</v>
      </c>
      <c r="F18" s="622"/>
      <c r="G18" s="567"/>
      <c r="H18" s="567"/>
      <c r="I18" s="567"/>
      <c r="J18" s="567"/>
      <c r="P18" s="567"/>
      <c r="Q18" s="567"/>
      <c r="R18" s="567"/>
      <c r="S18" s="567"/>
      <c r="T18" s="567"/>
      <c r="U18" s="562"/>
      <c r="V18" s="562"/>
    </row>
    <row r="19" spans="1:22" ht="20.100000000000001" customHeight="1">
      <c r="A19" s="760"/>
      <c r="B19" s="760"/>
      <c r="C19" s="658" t="s">
        <v>1141</v>
      </c>
      <c r="D19" s="565">
        <f>D18/20</f>
        <v>0</v>
      </c>
      <c r="E19" s="622" t="s">
        <v>488</v>
      </c>
      <c r="F19" s="622"/>
      <c r="G19" s="567"/>
      <c r="H19" s="567"/>
      <c r="I19" s="567"/>
      <c r="J19" s="567"/>
      <c r="P19" s="567"/>
      <c r="Q19" s="567"/>
      <c r="R19" s="567"/>
      <c r="S19" s="567"/>
      <c r="T19" s="567"/>
      <c r="U19" s="562"/>
      <c r="V19" s="562"/>
    </row>
    <row r="20" spans="1:22" ht="20.100000000000001" customHeight="1">
      <c r="A20" s="760" t="s">
        <v>490</v>
      </c>
      <c r="B20" s="622">
        <v>1</v>
      </c>
      <c r="C20" s="622" t="str">
        <f>I20&amp;G20</f>
        <v>米黄麻顶线2440*83*22(单贴)</v>
      </c>
      <c r="D20" s="622">
        <f>吸塑门板单!I47</f>
        <v>0</v>
      </c>
      <c r="E20" s="622" t="s">
        <v>491</v>
      </c>
      <c r="F20" s="622"/>
      <c r="G20" s="790" t="s">
        <v>1297</v>
      </c>
      <c r="H20" s="790"/>
      <c r="I20" s="567" t="str">
        <f>VLOOKUP(吸塑门板单!B4,吸塑门板单!X:AE,6,0)</f>
        <v>米黄麻</v>
      </c>
      <c r="J20" s="567"/>
      <c r="P20" s="567"/>
      <c r="Q20" s="567"/>
      <c r="R20" s="567"/>
      <c r="S20" s="567"/>
      <c r="T20" s="567"/>
      <c r="U20" s="562"/>
      <c r="V20" s="562"/>
    </row>
    <row r="21" spans="1:22" ht="20.25" customHeight="1">
      <c r="A21" s="760"/>
      <c r="B21" s="622">
        <v>2</v>
      </c>
      <c r="C21" s="661" t="str">
        <f>I21&amp;G21</f>
        <v>米黄麻花线2440*60*18(单贴)</v>
      </c>
      <c r="D21" s="622">
        <f>吸塑门板单!I48</f>
        <v>0</v>
      </c>
      <c r="E21" s="622" t="s">
        <v>491</v>
      </c>
      <c r="F21" s="622"/>
      <c r="G21" s="790" t="s">
        <v>1298</v>
      </c>
      <c r="H21" s="790"/>
      <c r="I21" s="567" t="str">
        <f>VLOOKUP(吸塑门板单!B4,吸塑门板单!X:AE,6,0)</f>
        <v>米黄麻</v>
      </c>
      <c r="J21" s="567"/>
      <c r="P21" s="567"/>
      <c r="Q21" s="567"/>
      <c r="R21" s="567"/>
      <c r="S21" s="567"/>
      <c r="T21" s="567"/>
      <c r="U21" s="562"/>
      <c r="V21" s="562"/>
    </row>
    <row r="22" spans="1:22" ht="20.25" customHeight="1">
      <c r="A22" s="760" t="s">
        <v>493</v>
      </c>
      <c r="B22" s="622">
        <v>1</v>
      </c>
      <c r="C22" s="661" t="s">
        <v>1313</v>
      </c>
      <c r="D22" s="622">
        <f>吸塑门板单!D46</f>
        <v>0</v>
      </c>
      <c r="E22" s="622" t="s">
        <v>494</v>
      </c>
      <c r="F22" s="622"/>
      <c r="G22" s="790"/>
      <c r="H22" s="790"/>
      <c r="I22" s="594"/>
      <c r="J22" s="567"/>
      <c r="P22" s="567"/>
      <c r="Q22" s="567"/>
      <c r="R22" s="567"/>
      <c r="S22" s="567"/>
      <c r="T22" s="567"/>
      <c r="U22" s="562"/>
      <c r="V22" s="562"/>
    </row>
    <row r="23" spans="1:22" ht="20.25" customHeight="1">
      <c r="A23" s="760"/>
      <c r="B23" s="622"/>
      <c r="C23" s="622" t="str">
        <f>I21&amp;G23</f>
        <v>米黄麻罗马柱基60*50*23(单贴)</v>
      </c>
      <c r="D23" s="622">
        <f>吸塑门板单!D44</f>
        <v>0</v>
      </c>
      <c r="E23" s="622" t="s">
        <v>494</v>
      </c>
      <c r="F23" s="622"/>
      <c r="G23" s="790" t="s">
        <v>1315</v>
      </c>
      <c r="H23" s="790"/>
      <c r="I23" s="567"/>
      <c r="J23" s="567"/>
      <c r="P23" s="567"/>
      <c r="Q23" s="567"/>
      <c r="R23" s="567"/>
      <c r="S23" s="567"/>
      <c r="T23" s="567"/>
      <c r="U23" s="562"/>
      <c r="V23" s="562"/>
    </row>
    <row r="24" spans="1:22" ht="20.25" customHeight="1">
      <c r="A24" s="760"/>
      <c r="B24" s="622"/>
      <c r="C24" s="662" t="str">
        <f>I21&amp;G24</f>
        <v>米黄麻罗马柱基100*50*23(单贴)</v>
      </c>
      <c r="D24" s="662">
        <f>吸塑门板单!D45</f>
        <v>0</v>
      </c>
      <c r="E24" s="662" t="s">
        <v>494</v>
      </c>
      <c r="F24" s="622"/>
      <c r="G24" s="791" t="s">
        <v>1316</v>
      </c>
      <c r="H24" s="790"/>
      <c r="I24" s="567"/>
      <c r="J24" s="567"/>
      <c r="P24" s="567"/>
      <c r="Q24" s="567"/>
      <c r="R24" s="567"/>
      <c r="S24" s="567"/>
      <c r="T24" s="567"/>
      <c r="U24" s="562"/>
      <c r="V24" s="562"/>
    </row>
    <row r="25" spans="1:22" ht="20.25" customHeight="1">
      <c r="A25" s="622"/>
      <c r="B25" s="622"/>
      <c r="C25" s="662" t="s">
        <v>1314</v>
      </c>
      <c r="D25" s="564">
        <f>吸塑门板单!W52</f>
        <v>0</v>
      </c>
      <c r="E25" s="622" t="s">
        <v>1224</v>
      </c>
      <c r="F25" s="622"/>
      <c r="G25" s="567"/>
      <c r="H25" s="567"/>
      <c r="I25" s="567"/>
      <c r="J25" s="567"/>
      <c r="P25" s="567"/>
      <c r="Q25" s="567"/>
      <c r="R25" s="567"/>
      <c r="S25" s="567"/>
      <c r="T25" s="567"/>
      <c r="U25" s="562"/>
      <c r="V25" s="562"/>
    </row>
    <row r="26" spans="1:22" ht="20.100000000000001" customHeight="1">
      <c r="A26" s="623"/>
      <c r="B26" s="623"/>
      <c r="C26" s="623" t="s">
        <v>1265</v>
      </c>
      <c r="D26" s="564">
        <f>D25/12</f>
        <v>0</v>
      </c>
      <c r="E26" s="622" t="s">
        <v>1236</v>
      </c>
      <c r="F26" s="622"/>
      <c r="G26" s="616"/>
      <c r="H26" s="616"/>
      <c r="I26" s="616"/>
      <c r="J26" s="616"/>
      <c r="P26" s="789"/>
      <c r="Q26" s="789"/>
      <c r="R26" s="789"/>
      <c r="S26" s="789"/>
      <c r="T26" s="789"/>
      <c r="U26" s="562"/>
      <c r="V26" s="562"/>
    </row>
    <row r="27" spans="1:22" ht="20.100000000000001" customHeight="1">
      <c r="A27" s="669" t="s">
        <v>1266</v>
      </c>
      <c r="B27" s="594"/>
      <c r="C27" s="594"/>
      <c r="D27" s="615"/>
      <c r="E27" s="594"/>
      <c r="F27" s="621"/>
      <c r="G27" s="567"/>
      <c r="H27" s="567"/>
      <c r="I27" s="567"/>
      <c r="J27" s="567"/>
      <c r="P27" s="617"/>
      <c r="Q27" s="617"/>
      <c r="R27" s="617"/>
      <c r="S27" s="617"/>
      <c r="T27" s="617"/>
      <c r="U27" s="562"/>
      <c r="V27" s="562"/>
    </row>
    <row r="28" spans="1:22" ht="20.100000000000001" customHeight="1">
      <c r="A28" s="665" t="s">
        <v>1260</v>
      </c>
      <c r="B28" s="669"/>
      <c r="C28" s="666"/>
      <c r="D28" s="615"/>
      <c r="E28" s="666"/>
      <c r="F28" s="666"/>
      <c r="G28" s="567"/>
      <c r="H28" s="567"/>
      <c r="I28" s="567"/>
      <c r="J28" s="567"/>
      <c r="P28" s="617"/>
      <c r="Q28" s="617"/>
      <c r="R28" s="617"/>
      <c r="S28" s="617"/>
      <c r="T28" s="617"/>
      <c r="U28" s="562"/>
      <c r="V28" s="562"/>
    </row>
    <row r="29" spans="1:22" ht="20.100000000000001" customHeight="1">
      <c r="B29" s="665"/>
      <c r="C29" s="665"/>
      <c r="D29" s="665"/>
      <c r="E29" s="665"/>
      <c r="F29" s="665"/>
      <c r="G29" s="563"/>
      <c r="H29" s="563"/>
      <c r="I29" s="563"/>
      <c r="J29" s="563"/>
      <c r="P29" s="784"/>
      <c r="Q29" s="784"/>
      <c r="R29" s="784"/>
      <c r="S29" s="784"/>
      <c r="T29" s="784"/>
      <c r="U29" s="562"/>
      <c r="V29" s="562"/>
    </row>
    <row r="30" spans="1:22" ht="20.100000000000001" customHeight="1">
      <c r="A30" s="669" t="s">
        <v>1317</v>
      </c>
      <c r="B30" s="670"/>
      <c r="C30" s="670"/>
      <c r="D30" s="670"/>
      <c r="E30" s="670"/>
      <c r="F30" s="671"/>
      <c r="G30" s="568"/>
      <c r="H30" s="568"/>
      <c r="I30" s="568"/>
      <c r="J30" s="568"/>
    </row>
    <row r="31" spans="1:22" ht="20.100000000000001" customHeight="1">
      <c r="A31" s="672"/>
      <c r="B31" s="672"/>
      <c r="C31" s="672"/>
      <c r="D31" s="672"/>
      <c r="E31" s="672"/>
      <c r="F31" s="664"/>
      <c r="G31" s="568"/>
      <c r="H31" s="568"/>
      <c r="I31" s="568"/>
      <c r="J31" s="568"/>
    </row>
  </sheetData>
  <mergeCells count="34">
    <mergeCell ref="P29:T29"/>
    <mergeCell ref="A22:A24"/>
    <mergeCell ref="A9:A16"/>
    <mergeCell ref="G9:H9"/>
    <mergeCell ref="A20:A21"/>
    <mergeCell ref="G11:H11"/>
    <mergeCell ref="P26:T26"/>
    <mergeCell ref="G17:H17"/>
    <mergeCell ref="G20:H20"/>
    <mergeCell ref="G21:H21"/>
    <mergeCell ref="G22:H22"/>
    <mergeCell ref="G23:H23"/>
    <mergeCell ref="P16:T16"/>
    <mergeCell ref="G24:H24"/>
    <mergeCell ref="V13:V14"/>
    <mergeCell ref="P8:R8"/>
    <mergeCell ref="P9:R9"/>
    <mergeCell ref="P11:R14"/>
    <mergeCell ref="S13:T14"/>
    <mergeCell ref="S11:T11"/>
    <mergeCell ref="S12:T12"/>
    <mergeCell ref="A6:A8"/>
    <mergeCell ref="A17:A19"/>
    <mergeCell ref="B18:B19"/>
    <mergeCell ref="A1:F1"/>
    <mergeCell ref="U13:U14"/>
    <mergeCell ref="L1:P1"/>
    <mergeCell ref="G1:H1"/>
    <mergeCell ref="S4:T4"/>
    <mergeCell ref="P4:Q4"/>
    <mergeCell ref="P5:Q5"/>
    <mergeCell ref="S5:T5"/>
    <mergeCell ref="P7:R7"/>
    <mergeCell ref="G2:H2"/>
  </mergeCells>
  <phoneticPr fontId="46" type="noConversion"/>
  <dataValidations disablePrompts="1" count="2">
    <dataValidation type="list" allowBlank="1" showInputMessage="1" showErrorMessage="1" sqref="WVC983057:WVD983057 C131090 C196626 C262162 C327698 C393234 C458770 C524306 C589842 C655378 C720914 C786450 C851986 C917522 C983058 WLG983057:WLH983057 WBK983057:WBL983057 VRO983057:VRP983057 VHS983057:VHT983057 UXW983057:UXX983057 UOA983057:UOB983057 UEE983057:UEF983057 TUI983057:TUJ983057 TKM983057:TKN983057 TAQ983057:TAR983057 SQU983057:SQV983057 SGY983057:SGZ983057 RXC983057:RXD983057 RNG983057:RNH983057 RDK983057:RDL983057 QTO983057:QTP983057 QJS983057:QJT983057 PZW983057:PZX983057 PQA983057:PQB983057 PGE983057:PGF983057 OWI983057:OWJ983057 OMM983057:OMN983057 OCQ983057:OCR983057 NSU983057:NSV983057 NIY983057:NIZ983057 MZC983057:MZD983057 MPG983057:MPH983057 MFK983057:MFL983057 LVO983057:LVP983057 LLS983057:LLT983057 LBW983057:LBX983057 KSA983057:KSB983057 KIE983057:KIF983057 JYI983057:JYJ983057 JOM983057:JON983057 JEQ983057:JER983057 IUU983057:IUV983057 IKY983057:IKZ983057 IBC983057:IBD983057 HRG983057:HRH983057 HHK983057:HHL983057 GXO983057:GXP983057 GNS983057:GNT983057 GDW983057:GDX983057 FUA983057:FUB983057 FKE983057:FKF983057 FAI983057:FAJ983057 EQM983057:EQN983057 EGQ983057:EGR983057 DWU983057:DWV983057 DMY983057:DMZ983057 DDC983057:DDD983057 CTG983057:CTH983057 CJK983057:CJL983057 BZO983057:BZP983057 BPS983057:BPT983057 BFW983057:BFX983057 AWA983057:AWB983057 AME983057:AMF983057 ACI983057:ACJ983057 SM983057:SN983057 IQ983057:IR983057 WVC917521:WVD917521 WLG917521:WLH917521 WBK917521:WBL917521 VRO917521:VRP917521 VHS917521:VHT917521 UXW917521:UXX917521 UOA917521:UOB917521 UEE917521:UEF917521 TUI917521:TUJ917521 TKM917521:TKN917521 TAQ917521:TAR917521 SQU917521:SQV917521 SGY917521:SGZ917521 RXC917521:RXD917521 RNG917521:RNH917521 RDK917521:RDL917521 QTO917521:QTP917521 QJS917521:QJT917521 PZW917521:PZX917521 PQA917521:PQB917521 PGE917521:PGF917521 OWI917521:OWJ917521 OMM917521:OMN917521 OCQ917521:OCR917521 NSU917521:NSV917521 NIY917521:NIZ917521 MZC917521:MZD917521 MPG917521:MPH917521 MFK917521:MFL917521 LVO917521:LVP917521 LLS917521:LLT917521 LBW917521:LBX917521 KSA917521:KSB917521 KIE917521:KIF917521 JYI917521:JYJ917521 JOM917521:JON917521 JEQ917521:JER917521 IUU917521:IUV917521 IKY917521:IKZ917521 IBC917521:IBD917521 HRG917521:HRH917521 HHK917521:HHL917521 GXO917521:GXP917521 GNS917521:GNT917521 GDW917521:GDX917521 FUA917521:FUB917521 FKE917521:FKF917521 FAI917521:FAJ917521 EQM917521:EQN917521 EGQ917521:EGR917521 DWU917521:DWV917521 DMY917521:DMZ917521 DDC917521:DDD917521 CTG917521:CTH917521 CJK917521:CJL917521 BZO917521:BZP917521 BPS917521:BPT917521 BFW917521:BFX917521 AWA917521:AWB917521 AME917521:AMF917521 ACI917521:ACJ917521 SM917521:SN917521 IQ917521:IR917521 WVC851985:WVD851985 WLG851985:WLH851985 WBK851985:WBL851985 VRO851985:VRP851985 VHS851985:VHT851985 UXW851985:UXX851985 UOA851985:UOB851985 UEE851985:UEF851985 TUI851985:TUJ851985 TKM851985:TKN851985 TAQ851985:TAR851985 SQU851985:SQV851985 SGY851985:SGZ851985 RXC851985:RXD851985 RNG851985:RNH851985 RDK851985:RDL851985 QTO851985:QTP851985 QJS851985:QJT851985 PZW851985:PZX851985 PQA851985:PQB851985 PGE851985:PGF851985 OWI851985:OWJ851985 OMM851985:OMN851985 OCQ851985:OCR851985 NSU851985:NSV851985 NIY851985:NIZ851985 MZC851985:MZD851985 MPG851985:MPH851985 MFK851985:MFL851985 LVO851985:LVP851985 LLS851985:LLT851985 LBW851985:LBX851985 KSA851985:KSB851985 KIE851985:KIF851985 JYI851985:JYJ851985 JOM851985:JON851985 JEQ851985:JER851985 IUU851985:IUV851985 IKY851985:IKZ851985 IBC851985:IBD851985 HRG851985:HRH851985 HHK851985:HHL851985 GXO851985:GXP851985 GNS851985:GNT851985 GDW851985:GDX851985 FUA851985:FUB851985 FKE851985:FKF851985 FAI851985:FAJ851985 EQM851985:EQN851985 EGQ851985:EGR851985 DWU851985:DWV851985 DMY851985:DMZ851985 DDC851985:DDD851985 CTG851985:CTH851985 CJK851985:CJL851985 BZO851985:BZP851985 BPS851985:BPT851985 BFW851985:BFX851985 AWA851985:AWB851985 AME851985:AMF851985 ACI851985:ACJ851985 SM851985:SN851985 IQ851985:IR851985 WVC786449:WVD786449 WLG786449:WLH786449 WBK786449:WBL786449 VRO786449:VRP786449 VHS786449:VHT786449 UXW786449:UXX786449 UOA786449:UOB786449 UEE786449:UEF786449 TUI786449:TUJ786449 TKM786449:TKN786449 TAQ786449:TAR786449 SQU786449:SQV786449 SGY786449:SGZ786449 RXC786449:RXD786449 RNG786449:RNH786449 RDK786449:RDL786449 QTO786449:QTP786449 QJS786449:QJT786449 PZW786449:PZX786449 PQA786449:PQB786449 PGE786449:PGF786449 OWI786449:OWJ786449 OMM786449:OMN786449 OCQ786449:OCR786449 NSU786449:NSV786449 NIY786449:NIZ786449 MZC786449:MZD786449 MPG786449:MPH786449 MFK786449:MFL786449 LVO786449:LVP786449 LLS786449:LLT786449 LBW786449:LBX786449 KSA786449:KSB786449 KIE786449:KIF786449 JYI786449:JYJ786449 JOM786449:JON786449 JEQ786449:JER786449 IUU786449:IUV786449 IKY786449:IKZ786449 IBC786449:IBD786449 HRG786449:HRH786449 HHK786449:HHL786449 GXO786449:GXP786449 GNS786449:GNT786449 GDW786449:GDX786449 FUA786449:FUB786449 FKE786449:FKF786449 FAI786449:FAJ786449 EQM786449:EQN786449 EGQ786449:EGR786449 DWU786449:DWV786449 DMY786449:DMZ786449 DDC786449:DDD786449 CTG786449:CTH786449 CJK786449:CJL786449 BZO786449:BZP786449 BPS786449:BPT786449 BFW786449:BFX786449 AWA786449:AWB786449 AME786449:AMF786449 ACI786449:ACJ786449 SM786449:SN786449 IQ786449:IR786449 WVC720913:WVD720913 WLG720913:WLH720913 WBK720913:WBL720913 VRO720913:VRP720913 VHS720913:VHT720913 UXW720913:UXX720913 UOA720913:UOB720913 UEE720913:UEF720913 TUI720913:TUJ720913 TKM720913:TKN720913 TAQ720913:TAR720913 SQU720913:SQV720913 SGY720913:SGZ720913 RXC720913:RXD720913 RNG720913:RNH720913 RDK720913:RDL720913 QTO720913:QTP720913 QJS720913:QJT720913 PZW720913:PZX720913 PQA720913:PQB720913 PGE720913:PGF720913 OWI720913:OWJ720913 OMM720913:OMN720913 OCQ720913:OCR720913 NSU720913:NSV720913 NIY720913:NIZ720913 MZC720913:MZD720913 MPG720913:MPH720913 MFK720913:MFL720913 LVO720913:LVP720913 LLS720913:LLT720913 LBW720913:LBX720913 KSA720913:KSB720913 KIE720913:KIF720913 JYI720913:JYJ720913 JOM720913:JON720913 JEQ720913:JER720913 IUU720913:IUV720913 IKY720913:IKZ720913 IBC720913:IBD720913 HRG720913:HRH720913 HHK720913:HHL720913 GXO720913:GXP720913 GNS720913:GNT720913 GDW720913:GDX720913 FUA720913:FUB720913 FKE720913:FKF720913 FAI720913:FAJ720913 EQM720913:EQN720913 EGQ720913:EGR720913 DWU720913:DWV720913 DMY720913:DMZ720913 DDC720913:DDD720913 CTG720913:CTH720913 CJK720913:CJL720913 BZO720913:BZP720913 BPS720913:BPT720913 BFW720913:BFX720913 AWA720913:AWB720913 AME720913:AMF720913 ACI720913:ACJ720913 SM720913:SN720913 IQ720913:IR720913 WVC655377:WVD655377 WLG655377:WLH655377 WBK655377:WBL655377 VRO655377:VRP655377 VHS655377:VHT655377 UXW655377:UXX655377 UOA655377:UOB655377 UEE655377:UEF655377 TUI655377:TUJ655377 TKM655377:TKN655377 TAQ655377:TAR655377 SQU655377:SQV655377 SGY655377:SGZ655377 RXC655377:RXD655377 RNG655377:RNH655377 RDK655377:RDL655377 QTO655377:QTP655377 QJS655377:QJT655377 PZW655377:PZX655377 PQA655377:PQB655377 PGE655377:PGF655377 OWI655377:OWJ655377 OMM655377:OMN655377 OCQ655377:OCR655377 NSU655377:NSV655377 NIY655377:NIZ655377 MZC655377:MZD655377 MPG655377:MPH655377 MFK655377:MFL655377 LVO655377:LVP655377 LLS655377:LLT655377 LBW655377:LBX655377 KSA655377:KSB655377 KIE655377:KIF655377 JYI655377:JYJ655377 JOM655377:JON655377 JEQ655377:JER655377 IUU655377:IUV655377 IKY655377:IKZ655377 IBC655377:IBD655377 HRG655377:HRH655377 HHK655377:HHL655377 GXO655377:GXP655377 GNS655377:GNT655377 GDW655377:GDX655377 FUA655377:FUB655377 FKE655377:FKF655377 FAI655377:FAJ655377 EQM655377:EQN655377 EGQ655377:EGR655377 DWU655377:DWV655377 DMY655377:DMZ655377 DDC655377:DDD655377 CTG655377:CTH655377 CJK655377:CJL655377 BZO655377:BZP655377 BPS655377:BPT655377 BFW655377:BFX655377 AWA655377:AWB655377 AME655377:AMF655377 ACI655377:ACJ655377 SM655377:SN655377 IQ655377:IR655377 WVC589841:WVD589841 WLG589841:WLH589841 WBK589841:WBL589841 VRO589841:VRP589841 VHS589841:VHT589841 UXW589841:UXX589841 UOA589841:UOB589841 UEE589841:UEF589841 TUI589841:TUJ589841 TKM589841:TKN589841 TAQ589841:TAR589841 SQU589841:SQV589841 SGY589841:SGZ589841 RXC589841:RXD589841 RNG589841:RNH589841 RDK589841:RDL589841 QTO589841:QTP589841 QJS589841:QJT589841 PZW589841:PZX589841 PQA589841:PQB589841 PGE589841:PGF589841 OWI589841:OWJ589841 OMM589841:OMN589841 OCQ589841:OCR589841 NSU589841:NSV589841 NIY589841:NIZ589841 MZC589841:MZD589841 MPG589841:MPH589841 MFK589841:MFL589841 LVO589841:LVP589841 LLS589841:LLT589841 LBW589841:LBX589841 KSA589841:KSB589841 KIE589841:KIF589841 JYI589841:JYJ589841 JOM589841:JON589841 JEQ589841:JER589841 IUU589841:IUV589841 IKY589841:IKZ589841 IBC589841:IBD589841 HRG589841:HRH589841 HHK589841:HHL589841 GXO589841:GXP589841 GNS589841:GNT589841 GDW589841:GDX589841 FUA589841:FUB589841 FKE589841:FKF589841 FAI589841:FAJ589841 EQM589841:EQN589841 EGQ589841:EGR589841 DWU589841:DWV589841 DMY589841:DMZ589841 DDC589841:DDD589841 CTG589841:CTH589841 CJK589841:CJL589841 BZO589841:BZP589841 BPS589841:BPT589841 BFW589841:BFX589841 AWA589841:AWB589841 AME589841:AMF589841 ACI589841:ACJ589841 SM589841:SN589841 IQ589841:IR589841 WVC524305:WVD524305 WLG524305:WLH524305 WBK524305:WBL524305 VRO524305:VRP524305 VHS524305:VHT524305 UXW524305:UXX524305 UOA524305:UOB524305 UEE524305:UEF524305 TUI524305:TUJ524305 TKM524305:TKN524305 TAQ524305:TAR524305 SQU524305:SQV524305 SGY524305:SGZ524305 RXC524305:RXD524305 RNG524305:RNH524305 RDK524305:RDL524305 QTO524305:QTP524305 QJS524305:QJT524305 PZW524305:PZX524305 PQA524305:PQB524305 PGE524305:PGF524305 OWI524305:OWJ524305 OMM524305:OMN524305 OCQ524305:OCR524305 NSU524305:NSV524305 NIY524305:NIZ524305 MZC524305:MZD524305 MPG524305:MPH524305 MFK524305:MFL524305 LVO524305:LVP524305 LLS524305:LLT524305 LBW524305:LBX524305 KSA524305:KSB524305 KIE524305:KIF524305 JYI524305:JYJ524305 JOM524305:JON524305 JEQ524305:JER524305 IUU524305:IUV524305 IKY524305:IKZ524305 IBC524305:IBD524305 HRG524305:HRH524305 HHK524305:HHL524305 GXO524305:GXP524305 GNS524305:GNT524305 GDW524305:GDX524305 FUA524305:FUB524305 FKE524305:FKF524305 FAI524305:FAJ524305 EQM524305:EQN524305 EGQ524305:EGR524305 DWU524305:DWV524305 DMY524305:DMZ524305 DDC524305:DDD524305 CTG524305:CTH524305 CJK524305:CJL524305 BZO524305:BZP524305 BPS524305:BPT524305 BFW524305:BFX524305 AWA524305:AWB524305 AME524305:AMF524305 ACI524305:ACJ524305 SM524305:SN524305 IQ524305:IR524305 WVC458769:WVD458769 WLG458769:WLH458769 WBK458769:WBL458769 VRO458769:VRP458769 VHS458769:VHT458769 UXW458769:UXX458769 UOA458769:UOB458769 UEE458769:UEF458769 TUI458769:TUJ458769 TKM458769:TKN458769 TAQ458769:TAR458769 SQU458769:SQV458769 SGY458769:SGZ458769 RXC458769:RXD458769 RNG458769:RNH458769 RDK458769:RDL458769 QTO458769:QTP458769 QJS458769:QJT458769 PZW458769:PZX458769 PQA458769:PQB458769 PGE458769:PGF458769 OWI458769:OWJ458769 OMM458769:OMN458769 OCQ458769:OCR458769 NSU458769:NSV458769 NIY458769:NIZ458769 MZC458769:MZD458769 MPG458769:MPH458769 MFK458769:MFL458769 LVO458769:LVP458769 LLS458769:LLT458769 LBW458769:LBX458769 KSA458769:KSB458769 KIE458769:KIF458769 JYI458769:JYJ458769 JOM458769:JON458769 JEQ458769:JER458769 IUU458769:IUV458769 IKY458769:IKZ458769 IBC458769:IBD458769 HRG458769:HRH458769 HHK458769:HHL458769 GXO458769:GXP458769 GNS458769:GNT458769 GDW458769:GDX458769 FUA458769:FUB458769 FKE458769:FKF458769 FAI458769:FAJ458769 EQM458769:EQN458769 EGQ458769:EGR458769 DWU458769:DWV458769 DMY458769:DMZ458769 DDC458769:DDD458769 CTG458769:CTH458769 CJK458769:CJL458769 BZO458769:BZP458769 BPS458769:BPT458769 BFW458769:BFX458769 AWA458769:AWB458769 AME458769:AMF458769 ACI458769:ACJ458769 SM458769:SN458769 IQ458769:IR458769 WVC393233:WVD393233 WLG393233:WLH393233 WBK393233:WBL393233 VRO393233:VRP393233 VHS393233:VHT393233 UXW393233:UXX393233 UOA393233:UOB393233 UEE393233:UEF393233 TUI393233:TUJ393233 TKM393233:TKN393233 TAQ393233:TAR393233 SQU393233:SQV393233 SGY393233:SGZ393233 RXC393233:RXD393233 RNG393233:RNH393233 RDK393233:RDL393233 QTO393233:QTP393233 QJS393233:QJT393233 PZW393233:PZX393233 PQA393233:PQB393233 PGE393233:PGF393233 OWI393233:OWJ393233 OMM393233:OMN393233 OCQ393233:OCR393233 NSU393233:NSV393233 NIY393233:NIZ393233 MZC393233:MZD393233 MPG393233:MPH393233 MFK393233:MFL393233 LVO393233:LVP393233 LLS393233:LLT393233 LBW393233:LBX393233 KSA393233:KSB393233 KIE393233:KIF393233 JYI393233:JYJ393233 JOM393233:JON393233 JEQ393233:JER393233 IUU393233:IUV393233 IKY393233:IKZ393233 IBC393233:IBD393233 HRG393233:HRH393233 HHK393233:HHL393233 GXO393233:GXP393233 GNS393233:GNT393233 GDW393233:GDX393233 FUA393233:FUB393233 FKE393233:FKF393233 FAI393233:FAJ393233 EQM393233:EQN393233 EGQ393233:EGR393233 DWU393233:DWV393233 DMY393233:DMZ393233 DDC393233:DDD393233 CTG393233:CTH393233 CJK393233:CJL393233 BZO393233:BZP393233 BPS393233:BPT393233 BFW393233:BFX393233 AWA393233:AWB393233 AME393233:AMF393233 ACI393233:ACJ393233 SM393233:SN393233 IQ393233:IR393233 WVC327697:WVD327697 WLG327697:WLH327697 WBK327697:WBL327697 VRO327697:VRP327697 VHS327697:VHT327697 UXW327697:UXX327697 UOA327697:UOB327697 UEE327697:UEF327697 TUI327697:TUJ327697 TKM327697:TKN327697 TAQ327697:TAR327697 SQU327697:SQV327697 SGY327697:SGZ327697 RXC327697:RXD327697 RNG327697:RNH327697 RDK327697:RDL327697 QTO327697:QTP327697 QJS327697:QJT327697 PZW327697:PZX327697 PQA327697:PQB327697 PGE327697:PGF327697 OWI327697:OWJ327697 OMM327697:OMN327697 OCQ327697:OCR327697 NSU327697:NSV327697 NIY327697:NIZ327697 MZC327697:MZD327697 MPG327697:MPH327697 MFK327697:MFL327697 LVO327697:LVP327697 LLS327697:LLT327697 LBW327697:LBX327697 KSA327697:KSB327697 KIE327697:KIF327697 JYI327697:JYJ327697 JOM327697:JON327697 JEQ327697:JER327697 IUU327697:IUV327697 IKY327697:IKZ327697 IBC327697:IBD327697 HRG327697:HRH327697 HHK327697:HHL327697 GXO327697:GXP327697 GNS327697:GNT327697 GDW327697:GDX327697 FUA327697:FUB327697 FKE327697:FKF327697 FAI327697:FAJ327697 EQM327697:EQN327697 EGQ327697:EGR327697 DWU327697:DWV327697 DMY327697:DMZ327697 DDC327697:DDD327697 CTG327697:CTH327697 CJK327697:CJL327697 BZO327697:BZP327697 BPS327697:BPT327697 BFW327697:BFX327697 AWA327697:AWB327697 AME327697:AMF327697 ACI327697:ACJ327697 SM327697:SN327697 IQ327697:IR327697 WVC262161:WVD262161 WLG262161:WLH262161 WBK262161:WBL262161 VRO262161:VRP262161 VHS262161:VHT262161 UXW262161:UXX262161 UOA262161:UOB262161 UEE262161:UEF262161 TUI262161:TUJ262161 TKM262161:TKN262161 TAQ262161:TAR262161 SQU262161:SQV262161 SGY262161:SGZ262161 RXC262161:RXD262161 RNG262161:RNH262161 RDK262161:RDL262161 QTO262161:QTP262161 QJS262161:QJT262161 PZW262161:PZX262161 PQA262161:PQB262161 PGE262161:PGF262161 OWI262161:OWJ262161 OMM262161:OMN262161 OCQ262161:OCR262161 NSU262161:NSV262161 NIY262161:NIZ262161 MZC262161:MZD262161 MPG262161:MPH262161 MFK262161:MFL262161 LVO262161:LVP262161 LLS262161:LLT262161 LBW262161:LBX262161 KSA262161:KSB262161 KIE262161:KIF262161 JYI262161:JYJ262161 JOM262161:JON262161 JEQ262161:JER262161 IUU262161:IUV262161 IKY262161:IKZ262161 IBC262161:IBD262161 HRG262161:HRH262161 HHK262161:HHL262161 GXO262161:GXP262161 GNS262161:GNT262161 GDW262161:GDX262161 FUA262161:FUB262161 FKE262161:FKF262161 FAI262161:FAJ262161 EQM262161:EQN262161 EGQ262161:EGR262161 DWU262161:DWV262161 DMY262161:DMZ262161 DDC262161:DDD262161 CTG262161:CTH262161 CJK262161:CJL262161 BZO262161:BZP262161 BPS262161:BPT262161 BFW262161:BFX262161 AWA262161:AWB262161 AME262161:AMF262161 ACI262161:ACJ262161 SM262161:SN262161 IQ262161:IR262161 WVC196625:WVD196625 WLG196625:WLH196625 WBK196625:WBL196625 VRO196625:VRP196625 VHS196625:VHT196625 UXW196625:UXX196625 UOA196625:UOB196625 UEE196625:UEF196625 TUI196625:TUJ196625 TKM196625:TKN196625 TAQ196625:TAR196625 SQU196625:SQV196625 SGY196625:SGZ196625 RXC196625:RXD196625 RNG196625:RNH196625 RDK196625:RDL196625 QTO196625:QTP196625 QJS196625:QJT196625 PZW196625:PZX196625 PQA196625:PQB196625 PGE196625:PGF196625 OWI196625:OWJ196625 OMM196625:OMN196625 OCQ196625:OCR196625 NSU196625:NSV196625 NIY196625:NIZ196625 MZC196625:MZD196625 MPG196625:MPH196625 MFK196625:MFL196625 LVO196625:LVP196625 LLS196625:LLT196625 LBW196625:LBX196625 KSA196625:KSB196625 KIE196625:KIF196625 JYI196625:JYJ196625 JOM196625:JON196625 JEQ196625:JER196625 IUU196625:IUV196625 IKY196625:IKZ196625 IBC196625:IBD196625 HRG196625:HRH196625 HHK196625:HHL196625 GXO196625:GXP196625 GNS196625:GNT196625 GDW196625:GDX196625 FUA196625:FUB196625 FKE196625:FKF196625 FAI196625:FAJ196625 EQM196625:EQN196625 EGQ196625:EGR196625 DWU196625:DWV196625 DMY196625:DMZ196625 DDC196625:DDD196625 CTG196625:CTH196625 CJK196625:CJL196625 BZO196625:BZP196625 BPS196625:BPT196625 BFW196625:BFX196625 AWA196625:AWB196625 AME196625:AMF196625 ACI196625:ACJ196625 SM196625:SN196625 IQ196625:IR196625 WVC131089:WVD131089 WLG131089:WLH131089 WBK131089:WBL131089 VRO131089:VRP131089 VHS131089:VHT131089 UXW131089:UXX131089 UOA131089:UOB131089 UEE131089:UEF131089 TUI131089:TUJ131089 TKM131089:TKN131089 TAQ131089:TAR131089 SQU131089:SQV131089 SGY131089:SGZ131089 RXC131089:RXD131089 RNG131089:RNH131089 RDK131089:RDL131089 QTO131089:QTP131089 QJS131089:QJT131089 PZW131089:PZX131089 PQA131089:PQB131089 PGE131089:PGF131089 OWI131089:OWJ131089 OMM131089:OMN131089 OCQ131089:OCR131089 NSU131089:NSV131089 NIY131089:NIZ131089 MZC131089:MZD131089 MPG131089:MPH131089 MFK131089:MFL131089 LVO131089:LVP131089 LLS131089:LLT131089 LBW131089:LBX131089 KSA131089:KSB131089 KIE131089:KIF131089 JYI131089:JYJ131089 JOM131089:JON131089 JEQ131089:JER131089 IUU131089:IUV131089 IKY131089:IKZ131089 IBC131089:IBD131089 HRG131089:HRH131089 HHK131089:HHL131089 GXO131089:GXP131089 GNS131089:GNT131089 GDW131089:GDX131089 FUA131089:FUB131089 FKE131089:FKF131089 FAI131089:FAJ131089 EQM131089:EQN131089 EGQ131089:EGR131089 DWU131089:DWV131089 DMY131089:DMZ131089 DDC131089:DDD131089 CTG131089:CTH131089 CJK131089:CJL131089 BZO131089:BZP131089 BPS131089:BPT131089 BFW131089:BFX131089 AWA131089:AWB131089 AME131089:AMF131089 ACI131089:ACJ131089 SM131089:SN131089 IQ131089:IR131089 WVC65553:WVD65553 WLG65553:WLH65553 WBK65553:WBL65553 VRO65553:VRP65553 VHS65553:VHT65553 UXW65553:UXX65553 UOA65553:UOB65553 UEE65553:UEF65553 TUI65553:TUJ65553 TKM65553:TKN65553 TAQ65553:TAR65553 SQU65553:SQV65553 SGY65553:SGZ65553 RXC65553:RXD65553 RNG65553:RNH65553 RDK65553:RDL65553 QTO65553:QTP65553 QJS65553:QJT65553 PZW65553:PZX65553 PQA65553:PQB65553 PGE65553:PGF65553 OWI65553:OWJ65553 OMM65553:OMN65553 OCQ65553:OCR65553 NSU65553:NSV65553 NIY65553:NIZ65553 MZC65553:MZD65553 MPG65553:MPH65553 MFK65553:MFL65553 LVO65553:LVP65553 LLS65553:LLT65553 LBW65553:LBX65553 KSA65553:KSB65553 KIE65553:KIF65553 JYI65553:JYJ65553 JOM65553:JON65553 JEQ65553:JER65553 IUU65553:IUV65553 IKY65553:IKZ65553 IBC65553:IBD65553 HRG65553:HRH65553 HHK65553:HHL65553 GXO65553:GXP65553 GNS65553:GNT65553 GDW65553:GDX65553 FUA65553:FUB65553 FKE65553:FKF65553 FAI65553:FAJ65553 EQM65553:EQN65553 EGQ65553:EGR65553 DWU65553:DWV65553 DMY65553:DMZ65553 DDC65553:DDD65553 CTG65553:CTH65553 CJK65553:CJL65553 BZO65553:BZP65553 BPS65553:BPT65553 BFW65553:BFX65553 AWA65553:AWB65553 AME65553:AMF65553 ACI65553:ACJ65553 SM65553:SN65553 IQ65553:IR65553 C65554 SM9:SN9 ACI9:ACJ9 AME9:AMF9 AWA9:AWB9 BFW9:BFX9 BPS9:BPT9 BZO9:BZP9 CJK9:CJL9 CTG9:CTH9 DDC9:DDD9 DMY9:DMZ9 DWU9:DWV9 EGQ9:EGR9 EQM9:EQN9 FAI9:FAJ9 FKE9:FKF9 FUA9:FUB9 GDW9:GDX9 GNS9:GNT9 GXO9:GXP9 HHK9:HHL9 HRG9:HRH9 IBC9:IBD9 IKY9:IKZ9 IUU9:IUV9 JEQ9:JER9 JOM9:JON9 JYI9:JYJ9 KIE9:KIF9 KSA9:KSB9 LBW9:LBX9 LLS9:LLT9 LVO9:LVP9 MFK9:MFL9 MPG9:MPH9 MZC9:MZD9 NIY9:NIZ9 NSU9:NSV9 OCQ9:OCR9 OMM9:OMN9 OWI9:OWJ9 PGE9:PGF9 PQA9:PQB9 PZW9:PZX9 QJS9:QJT9 QTO9:QTP9 RDK9:RDL9 RNG9:RNH9 RXC9:RXD9 SGY9:SGZ9 SQU9:SQV9 TAQ9:TAR9 TKM9:TKN9 TUI9:TUJ9 UEE9:UEF9 UOA9:UOB9 UXW9:UXX9 VHS9:VHT9 VRO9:VRP9 WBK9:WBL9 WLG9:WLH9 WVC9:WVD9 IQ9:IR9">
      <formula1>$N$7:$N$10</formula1>
    </dataValidation>
    <dataValidation type="list" allowBlank="1" showInputMessage="1" showErrorMessage="1" sqref="G9">
      <formula1>$L$5:$L$7</formula1>
    </dataValidation>
  </dataValidations>
  <printOptions horizontalCentered="1"/>
  <pageMargins left="3.937007874015748E-2" right="3.937007874015748E-2" top="0.59055118110236227" bottom="0.98425196850393704" header="0.51181102362204722" footer="0.51181102362204722"/>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rgb="FF0070C0"/>
  </sheetPr>
  <dimension ref="A1:J47"/>
  <sheetViews>
    <sheetView view="pageBreakPreview" zoomScale="115" zoomScaleSheetLayoutView="115" workbookViewId="0">
      <selection activeCell="L11" sqref="L11"/>
    </sheetView>
  </sheetViews>
  <sheetFormatPr defaultRowHeight="13.5"/>
  <cols>
    <col min="1" max="1" width="8.5" style="518" customWidth="1"/>
    <col min="2" max="2" width="10.125" style="537" customWidth="1"/>
    <col min="3" max="3" width="13.875" style="537" customWidth="1"/>
    <col min="4" max="4" width="11.875" style="518" customWidth="1"/>
    <col min="5" max="5" width="5.875" style="518" customWidth="1"/>
    <col min="6" max="6" width="7.75" style="518" customWidth="1"/>
    <col min="7" max="7" width="8.625" style="518" customWidth="1"/>
    <col min="8" max="8" width="9.75" style="518" customWidth="1"/>
    <col min="9" max="9" width="5.75" style="518" customWidth="1"/>
    <col min="10" max="10" width="6" style="518" customWidth="1"/>
    <col min="11" max="16384" width="9" style="518"/>
  </cols>
  <sheetData>
    <row r="1" spans="1:10" ht="27" customHeight="1">
      <c r="A1" s="796" t="s">
        <v>1142</v>
      </c>
      <c r="B1" s="796"/>
      <c r="C1" s="796"/>
      <c r="D1" s="796"/>
      <c r="E1" s="796"/>
      <c r="F1" s="796"/>
      <c r="G1" s="796"/>
      <c r="H1" s="796"/>
      <c r="I1" s="796"/>
      <c r="J1" s="796"/>
    </row>
    <row r="2" spans="1:10" ht="21" customHeight="1">
      <c r="A2" s="519" t="s">
        <v>1143</v>
      </c>
      <c r="B2" s="792">
        <f>吸塑门板单!B2</f>
        <v>0</v>
      </c>
      <c r="C2" s="792"/>
      <c r="D2" s="520" t="s">
        <v>1144</v>
      </c>
      <c r="E2" s="792" t="str">
        <f>[8]下料单!$H$2</f>
        <v xml:space="preserve">S400321599d-11-28-1
</v>
      </c>
      <c r="F2" s="792"/>
      <c r="G2" s="792"/>
      <c r="H2" s="520" t="s">
        <v>1145</v>
      </c>
      <c r="I2" s="797">
        <f>[8]柜体!$I$2</f>
        <v>0</v>
      </c>
      <c r="J2" s="797"/>
    </row>
    <row r="3" spans="1:10" ht="21" customHeight="1">
      <c r="A3" s="520" t="s">
        <v>1146</v>
      </c>
      <c r="B3" s="792" t="str">
        <f>吸塑门板单!G3</f>
        <v>香草天空Ⅱ</v>
      </c>
      <c r="C3" s="792"/>
      <c r="D3" s="520" t="s">
        <v>1147</v>
      </c>
      <c r="E3" s="792" t="str">
        <f>吸塑门板单!B4</f>
        <v>P02米黄</v>
      </c>
      <c r="F3" s="792"/>
      <c r="G3" s="792"/>
      <c r="H3" s="520" t="s">
        <v>1148</v>
      </c>
      <c r="I3" s="797">
        <f>[8]柜体!$I$3</f>
        <v>0</v>
      </c>
      <c r="J3" s="797"/>
    </row>
    <row r="4" spans="1:10" ht="21" customHeight="1">
      <c r="A4" s="520" t="s">
        <v>1149</v>
      </c>
      <c r="B4" s="792">
        <f>[8]下料单!$S$2</f>
        <v>0</v>
      </c>
      <c r="C4" s="792"/>
      <c r="D4" s="521" t="s">
        <v>1150</v>
      </c>
      <c r="E4" s="798">
        <f>吸塑门板单!M2</f>
        <v>0</v>
      </c>
      <c r="F4" s="798"/>
      <c r="G4" s="798"/>
      <c r="H4" s="520" t="s">
        <v>1151</v>
      </c>
      <c r="I4" s="797">
        <f>吸塑门板单!M3</f>
        <v>0</v>
      </c>
      <c r="J4" s="797"/>
    </row>
    <row r="5" spans="1:10" ht="21" customHeight="1">
      <c r="A5" s="520" t="s">
        <v>1152</v>
      </c>
      <c r="B5" s="520" t="s">
        <v>1153</v>
      </c>
      <c r="C5" s="520" t="s">
        <v>1154</v>
      </c>
      <c r="D5" s="520" t="s">
        <v>1155</v>
      </c>
      <c r="E5" s="520" t="s">
        <v>1156</v>
      </c>
      <c r="F5" s="520" t="s">
        <v>1157</v>
      </c>
      <c r="G5" s="520" t="s">
        <v>1158</v>
      </c>
      <c r="H5" s="541" t="s">
        <v>1206</v>
      </c>
      <c r="I5" s="792" t="s">
        <v>1207</v>
      </c>
      <c r="J5" s="792"/>
    </row>
    <row r="6" spans="1:10" ht="21" customHeight="1">
      <c r="A6" s="520" t="s">
        <v>1159</v>
      </c>
      <c r="B6" s="792"/>
      <c r="C6" s="792"/>
      <c r="D6" s="520" t="s">
        <v>1160</v>
      </c>
      <c r="E6" s="792"/>
      <c r="F6" s="792"/>
      <c r="G6" s="792"/>
      <c r="H6" s="520" t="s">
        <v>1161</v>
      </c>
      <c r="I6" s="792"/>
      <c r="J6" s="792"/>
    </row>
    <row r="7" spans="1:10" ht="21" customHeight="1">
      <c r="A7" s="520" t="s">
        <v>1162</v>
      </c>
      <c r="B7" s="520" t="s">
        <v>1163</v>
      </c>
      <c r="C7" s="520" t="s">
        <v>1164</v>
      </c>
      <c r="D7" s="520" t="s">
        <v>1165</v>
      </c>
      <c r="E7" s="520" t="s">
        <v>1166</v>
      </c>
      <c r="F7" s="520" t="s">
        <v>1145</v>
      </c>
      <c r="G7" s="520" t="s">
        <v>1167</v>
      </c>
      <c r="H7" s="520" t="s">
        <v>1168</v>
      </c>
      <c r="I7" s="520" t="s">
        <v>1169</v>
      </c>
      <c r="J7" s="520" t="s">
        <v>1170</v>
      </c>
    </row>
    <row r="8" spans="1:10" ht="21" customHeight="1">
      <c r="A8" s="520">
        <v>1</v>
      </c>
      <c r="B8" s="793" t="s">
        <v>1171</v>
      </c>
      <c r="C8" s="522" t="s">
        <v>1172</v>
      </c>
      <c r="D8" s="520"/>
      <c r="E8" s="520" t="s">
        <v>1173</v>
      </c>
      <c r="F8" s="520"/>
      <c r="G8" s="520"/>
      <c r="H8" s="520"/>
      <c r="I8" s="520"/>
      <c r="J8" s="523"/>
    </row>
    <row r="9" spans="1:10" ht="21" customHeight="1">
      <c r="A9" s="520">
        <v>2</v>
      </c>
      <c r="B9" s="793"/>
      <c r="C9" s="522" t="s">
        <v>1174</v>
      </c>
      <c r="D9" s="520"/>
      <c r="E9" s="520" t="s">
        <v>1173</v>
      </c>
      <c r="F9" s="520"/>
      <c r="G9" s="520"/>
      <c r="H9" s="520"/>
      <c r="I9" s="520"/>
      <c r="J9" s="523"/>
    </row>
    <row r="10" spans="1:10" ht="21" customHeight="1">
      <c r="A10" s="520">
        <v>3</v>
      </c>
      <c r="B10" s="793"/>
      <c r="C10" s="524" t="s">
        <v>1175</v>
      </c>
      <c r="D10" s="520"/>
      <c r="E10" s="520" t="s">
        <v>1173</v>
      </c>
      <c r="F10" s="520"/>
      <c r="G10" s="520"/>
      <c r="H10" s="520"/>
      <c r="I10" s="520"/>
      <c r="J10" s="523"/>
    </row>
    <row r="11" spans="1:10" ht="21" customHeight="1">
      <c r="A11" s="520">
        <v>4</v>
      </c>
      <c r="B11" s="793" t="s">
        <v>1176</v>
      </c>
      <c r="C11" s="522" t="s">
        <v>1172</v>
      </c>
      <c r="D11" s="520"/>
      <c r="E11" s="520" t="s">
        <v>1173</v>
      </c>
      <c r="F11" s="520"/>
      <c r="G11" s="520"/>
      <c r="H11" s="520"/>
      <c r="I11" s="520"/>
      <c r="J11" s="523"/>
    </row>
    <row r="12" spans="1:10" ht="21" customHeight="1">
      <c r="A12" s="520">
        <v>5</v>
      </c>
      <c r="B12" s="793"/>
      <c r="C12" s="522" t="s">
        <v>1174</v>
      </c>
      <c r="D12" s="520"/>
      <c r="E12" s="520" t="s">
        <v>1173</v>
      </c>
      <c r="F12" s="520"/>
      <c r="G12" s="520"/>
      <c r="H12" s="520"/>
      <c r="I12" s="520"/>
      <c r="J12" s="523"/>
    </row>
    <row r="13" spans="1:10" ht="21" customHeight="1">
      <c r="A13" s="520">
        <v>6</v>
      </c>
      <c r="B13" s="793"/>
      <c r="C13" s="524" t="s">
        <v>1177</v>
      </c>
      <c r="D13" s="520"/>
      <c r="E13" s="520" t="s">
        <v>1173</v>
      </c>
      <c r="F13" s="520"/>
      <c r="G13" s="520"/>
      <c r="H13" s="520"/>
      <c r="I13" s="520"/>
      <c r="J13" s="523"/>
    </row>
    <row r="14" spans="1:10" ht="21" customHeight="1">
      <c r="A14" s="542">
        <v>7</v>
      </c>
      <c r="B14" s="543" t="s">
        <v>1220</v>
      </c>
      <c r="C14" s="524" t="s">
        <v>1221</v>
      </c>
      <c r="D14" s="542"/>
      <c r="E14" s="542" t="s">
        <v>1222</v>
      </c>
      <c r="F14" s="542"/>
      <c r="G14" s="542"/>
      <c r="H14" s="542"/>
      <c r="I14" s="542"/>
      <c r="J14" s="523"/>
    </row>
    <row r="15" spans="1:10" ht="21" customHeight="1">
      <c r="A15" s="542">
        <v>8</v>
      </c>
      <c r="B15" s="793" t="s">
        <v>1178</v>
      </c>
      <c r="C15" s="522" t="s">
        <v>1179</v>
      </c>
      <c r="D15" s="520"/>
      <c r="E15" s="520" t="s">
        <v>1173</v>
      </c>
      <c r="F15" s="520"/>
      <c r="G15" s="520"/>
      <c r="H15" s="520"/>
      <c r="I15" s="520"/>
      <c r="J15" s="523"/>
    </row>
    <row r="16" spans="1:10" ht="21" customHeight="1">
      <c r="A16" s="542">
        <v>9</v>
      </c>
      <c r="B16" s="793"/>
      <c r="C16" s="522" t="s">
        <v>1180</v>
      </c>
      <c r="D16" s="520">
        <f>吸塑门板单!I3</f>
        <v>2</v>
      </c>
      <c r="E16" s="520" t="s">
        <v>1173</v>
      </c>
      <c r="F16" s="520"/>
      <c r="G16" s="520"/>
      <c r="H16" s="520"/>
      <c r="I16" s="520"/>
      <c r="J16" s="523"/>
    </row>
    <row r="17" spans="1:10" ht="21" customHeight="1">
      <c r="A17" s="542">
        <v>10</v>
      </c>
      <c r="B17" s="793" t="s">
        <v>1181</v>
      </c>
      <c r="C17" s="522" t="s">
        <v>1182</v>
      </c>
      <c r="D17" s="520">
        <f>吸塑门板单!I3</f>
        <v>2</v>
      </c>
      <c r="E17" s="520" t="s">
        <v>1173</v>
      </c>
      <c r="F17" s="520"/>
      <c r="G17" s="520"/>
      <c r="H17" s="520"/>
      <c r="I17" s="520"/>
      <c r="J17" s="523"/>
    </row>
    <row r="18" spans="1:10" ht="21" customHeight="1">
      <c r="A18" s="542">
        <v>11</v>
      </c>
      <c r="B18" s="793"/>
      <c r="C18" s="522" t="s">
        <v>1183</v>
      </c>
      <c r="D18" s="520">
        <f>吸塑门板单!I3</f>
        <v>2</v>
      </c>
      <c r="E18" s="520" t="s">
        <v>1173</v>
      </c>
      <c r="F18" s="520"/>
      <c r="G18" s="520"/>
      <c r="H18" s="520"/>
      <c r="I18" s="520"/>
      <c r="J18" s="523"/>
    </row>
    <row r="19" spans="1:10" ht="21" customHeight="1">
      <c r="A19" s="542">
        <v>12</v>
      </c>
      <c r="B19" s="793"/>
      <c r="C19" s="522" t="s">
        <v>1184</v>
      </c>
      <c r="D19" s="520">
        <f>吸塑门板单!I3</f>
        <v>2</v>
      </c>
      <c r="E19" s="520" t="s">
        <v>1173</v>
      </c>
      <c r="F19" s="520"/>
      <c r="G19" s="520"/>
      <c r="H19" s="520"/>
      <c r="I19" s="520"/>
      <c r="J19" s="523"/>
    </row>
    <row r="20" spans="1:10" ht="21" customHeight="1">
      <c r="A20" s="542">
        <v>13</v>
      </c>
      <c r="B20" s="793"/>
      <c r="C20" s="522" t="s">
        <v>1185</v>
      </c>
      <c r="D20" s="520"/>
      <c r="E20" s="520" t="s">
        <v>1173</v>
      </c>
      <c r="F20" s="520"/>
      <c r="G20" s="520"/>
      <c r="H20" s="520"/>
      <c r="I20" s="520"/>
      <c r="J20" s="523"/>
    </row>
    <row r="21" spans="1:10" ht="21" customHeight="1">
      <c r="A21" s="542">
        <v>14</v>
      </c>
      <c r="B21" s="793" t="s">
        <v>1186</v>
      </c>
      <c r="C21" s="522" t="s">
        <v>1187</v>
      </c>
      <c r="D21" s="525"/>
      <c r="E21" s="520" t="s">
        <v>1188</v>
      </c>
      <c r="F21" s="520"/>
      <c r="G21" s="520"/>
      <c r="H21" s="520"/>
      <c r="I21" s="520"/>
      <c r="J21" s="523"/>
    </row>
    <row r="22" spans="1:10" ht="21" customHeight="1">
      <c r="A22" s="542">
        <v>15</v>
      </c>
      <c r="B22" s="793"/>
      <c r="C22" s="522" t="s">
        <v>1189</v>
      </c>
      <c r="D22" s="520"/>
      <c r="E22" s="520" t="s">
        <v>1190</v>
      </c>
      <c r="F22" s="520"/>
      <c r="G22" s="520"/>
      <c r="H22" s="520"/>
      <c r="I22" s="520"/>
      <c r="J22" s="523"/>
    </row>
    <row r="23" spans="1:10" ht="21" customHeight="1">
      <c r="A23" s="542">
        <v>16</v>
      </c>
      <c r="B23" s="793"/>
      <c r="C23" s="526" t="s">
        <v>1191</v>
      </c>
      <c r="D23" s="520"/>
      <c r="E23" s="520" t="s">
        <v>1192</v>
      </c>
      <c r="F23" s="520"/>
      <c r="G23" s="520"/>
      <c r="H23" s="520"/>
      <c r="I23" s="520"/>
      <c r="J23" s="523"/>
    </row>
    <row r="24" spans="1:10" ht="21" customHeight="1">
      <c r="A24" s="542">
        <v>17</v>
      </c>
      <c r="B24" s="798" t="s">
        <v>1193</v>
      </c>
      <c r="C24" s="527" t="s">
        <v>1194</v>
      </c>
      <c r="D24" s="520"/>
      <c r="E24" s="520" t="s">
        <v>1195</v>
      </c>
      <c r="F24" s="520"/>
      <c r="G24" s="520"/>
      <c r="H24" s="520"/>
      <c r="I24" s="520"/>
      <c r="J24" s="523"/>
    </row>
    <row r="25" spans="1:10" ht="21" customHeight="1">
      <c r="A25" s="542">
        <v>18</v>
      </c>
      <c r="B25" s="798"/>
      <c r="C25" s="527" t="s">
        <v>1196</v>
      </c>
      <c r="D25" s="520"/>
      <c r="E25" s="520" t="s">
        <v>1195</v>
      </c>
      <c r="F25" s="520"/>
      <c r="G25" s="520"/>
      <c r="H25" s="520"/>
      <c r="I25" s="520"/>
      <c r="J25" s="523"/>
    </row>
    <row r="26" spans="1:10" s="540" customFormat="1" ht="20.100000000000001" customHeight="1">
      <c r="A26" s="542">
        <v>19</v>
      </c>
      <c r="B26" s="794" t="s">
        <v>1202</v>
      </c>
      <c r="C26" s="539" t="s">
        <v>1203</v>
      </c>
      <c r="D26" s="538"/>
      <c r="E26" s="538" t="s">
        <v>1204</v>
      </c>
      <c r="F26" s="538"/>
      <c r="G26" s="538"/>
      <c r="H26" s="538"/>
      <c r="I26" s="538"/>
      <c r="J26" s="56"/>
    </row>
    <row r="27" spans="1:10" s="540" customFormat="1" ht="20.100000000000001" customHeight="1">
      <c r="A27" s="542">
        <v>20</v>
      </c>
      <c r="B27" s="795"/>
      <c r="C27" s="539" t="s">
        <v>1205</v>
      </c>
      <c r="D27" s="538"/>
      <c r="E27" s="538" t="s">
        <v>1204</v>
      </c>
      <c r="F27" s="538"/>
      <c r="G27" s="538"/>
      <c r="H27" s="538"/>
      <c r="I27" s="538"/>
      <c r="J27" s="56"/>
    </row>
    <row r="28" spans="1:10" ht="25.5" customHeight="1">
      <c r="A28" s="542">
        <v>21</v>
      </c>
      <c r="B28" s="524" t="s">
        <v>1197</v>
      </c>
      <c r="C28" s="527" t="s">
        <v>1198</v>
      </c>
      <c r="D28" s="520">
        <f>吸塑门板单!I3</f>
        <v>2</v>
      </c>
      <c r="E28" s="520" t="s">
        <v>1199</v>
      </c>
      <c r="F28" s="520"/>
      <c r="G28" s="520"/>
      <c r="H28" s="520"/>
      <c r="I28" s="520"/>
      <c r="J28" s="523"/>
    </row>
    <row r="29" spans="1:10">
      <c r="A29" s="528"/>
      <c r="B29" s="528"/>
      <c r="C29" s="529"/>
      <c r="D29" s="528"/>
      <c r="E29" s="528"/>
      <c r="F29" s="528"/>
      <c r="G29" s="528"/>
      <c r="H29" s="528"/>
      <c r="I29" s="528"/>
      <c r="J29" s="530"/>
    </row>
    <row r="30" spans="1:10">
      <c r="A30" s="528"/>
      <c r="B30" s="528"/>
      <c r="C30" s="531"/>
      <c r="D30" s="528"/>
      <c r="E30" s="528"/>
      <c r="F30" s="528"/>
      <c r="G30" s="528"/>
      <c r="H30" s="528"/>
      <c r="I30" s="528"/>
      <c r="J30" s="530"/>
    </row>
    <row r="31" spans="1:10">
      <c r="A31" s="528"/>
      <c r="B31" s="528"/>
      <c r="C31" s="532"/>
      <c r="D31" s="528"/>
      <c r="E31" s="528"/>
      <c r="F31" s="528"/>
      <c r="G31" s="528"/>
      <c r="H31" s="528"/>
      <c r="I31" s="528"/>
      <c r="J31" s="530"/>
    </row>
    <row r="32" spans="1:10">
      <c r="A32" s="528"/>
      <c r="B32" s="528"/>
      <c r="C32" s="532"/>
      <c r="D32" s="528"/>
      <c r="E32" s="528"/>
      <c r="F32" s="528"/>
      <c r="G32" s="528"/>
      <c r="H32" s="528"/>
      <c r="I32" s="528"/>
      <c r="J32" s="530"/>
    </row>
    <row r="33" spans="1:10">
      <c r="A33" s="528"/>
      <c r="B33" s="528"/>
      <c r="C33" s="528"/>
      <c r="D33" s="528"/>
      <c r="E33" s="528"/>
      <c r="F33" s="528"/>
      <c r="G33" s="528"/>
      <c r="H33" s="528"/>
      <c r="I33" s="528"/>
      <c r="J33" s="530"/>
    </row>
    <row r="34" spans="1:10">
      <c r="A34" s="528"/>
      <c r="B34" s="528"/>
      <c r="C34" s="528"/>
      <c r="D34" s="528"/>
      <c r="E34" s="528"/>
      <c r="F34" s="528"/>
      <c r="G34" s="528"/>
      <c r="H34" s="528"/>
      <c r="I34" s="528"/>
      <c r="J34" s="530"/>
    </row>
    <row r="35" spans="1:10">
      <c r="A35" s="528"/>
      <c r="B35" s="528"/>
      <c r="C35" s="528"/>
      <c r="D35" s="528"/>
      <c r="E35" s="528"/>
      <c r="F35" s="528"/>
      <c r="G35" s="528"/>
      <c r="H35" s="528"/>
      <c r="I35" s="528"/>
      <c r="J35" s="530"/>
    </row>
    <row r="36" spans="1:10">
      <c r="A36" s="528"/>
      <c r="B36" s="528"/>
      <c r="C36" s="528"/>
      <c r="D36" s="528"/>
      <c r="E36" s="528"/>
      <c r="F36" s="528"/>
      <c r="G36" s="528"/>
      <c r="H36" s="528"/>
      <c r="I36" s="528"/>
      <c r="J36" s="530"/>
    </row>
    <row r="37" spans="1:10">
      <c r="A37" s="528"/>
      <c r="B37" s="528"/>
      <c r="C37" s="529"/>
      <c r="D37" s="528"/>
      <c r="E37" s="528"/>
      <c r="F37" s="528"/>
      <c r="G37" s="528"/>
      <c r="H37" s="528"/>
      <c r="I37" s="528"/>
      <c r="J37" s="530"/>
    </row>
    <row r="38" spans="1:10">
      <c r="A38" s="528"/>
      <c r="B38" s="528"/>
      <c r="C38" s="529"/>
      <c r="D38" s="528"/>
      <c r="E38" s="528"/>
      <c r="F38" s="528"/>
      <c r="G38" s="528"/>
      <c r="H38" s="528"/>
      <c r="I38" s="528"/>
      <c r="J38" s="530"/>
    </row>
    <row r="39" spans="1:10" ht="18.75" customHeight="1">
      <c r="A39" s="528"/>
      <c r="B39" s="528"/>
      <c r="C39" s="533"/>
      <c r="D39" s="528"/>
      <c r="E39" s="528"/>
      <c r="F39" s="528"/>
      <c r="G39" s="528"/>
      <c r="H39" s="528"/>
      <c r="I39" s="528"/>
      <c r="J39" s="530"/>
    </row>
    <row r="40" spans="1:10">
      <c r="A40" s="528"/>
      <c r="B40" s="528"/>
      <c r="C40" s="528"/>
      <c r="D40" s="528"/>
      <c r="E40" s="528"/>
      <c r="F40" s="528"/>
      <c r="G40" s="528"/>
      <c r="H40" s="528"/>
      <c r="I40" s="528"/>
      <c r="J40" s="530"/>
    </row>
    <row r="41" spans="1:10">
      <c r="A41" s="528"/>
      <c r="B41" s="528"/>
      <c r="C41" s="528"/>
      <c r="D41" s="528"/>
      <c r="E41" s="528"/>
      <c r="F41" s="528"/>
      <c r="G41" s="528"/>
      <c r="H41" s="528"/>
      <c r="I41" s="528"/>
      <c r="J41" s="530"/>
    </row>
    <row r="42" spans="1:10">
      <c r="A42" s="528"/>
      <c r="B42" s="528"/>
      <c r="C42" s="534"/>
      <c r="D42" s="528"/>
      <c r="E42" s="528"/>
      <c r="F42" s="528"/>
      <c r="G42" s="528"/>
      <c r="H42" s="528"/>
      <c r="I42" s="528"/>
      <c r="J42" s="530"/>
    </row>
    <row r="43" spans="1:10">
      <c r="A43" s="528"/>
      <c r="B43" s="528"/>
      <c r="C43" s="534"/>
      <c r="D43" s="528"/>
      <c r="E43" s="528"/>
      <c r="F43" s="528"/>
      <c r="G43" s="528"/>
      <c r="H43" s="528"/>
      <c r="I43" s="528"/>
      <c r="J43" s="530"/>
    </row>
    <row r="44" spans="1:10">
      <c r="A44" s="528"/>
      <c r="B44" s="528"/>
      <c r="C44" s="528"/>
      <c r="D44" s="528"/>
      <c r="E44" s="528"/>
      <c r="F44" s="528"/>
      <c r="G44" s="528"/>
      <c r="H44" s="528"/>
      <c r="I44" s="528"/>
      <c r="J44" s="530"/>
    </row>
    <row r="45" spans="1:10">
      <c r="A45" s="528"/>
      <c r="B45" s="528"/>
      <c r="C45" s="528"/>
      <c r="D45" s="528"/>
      <c r="E45" s="528"/>
      <c r="F45" s="528"/>
      <c r="G45" s="528"/>
      <c r="H45" s="528"/>
      <c r="I45" s="528"/>
      <c r="J45" s="530"/>
    </row>
    <row r="46" spans="1:10">
      <c r="A46" s="528"/>
      <c r="B46" s="528"/>
      <c r="C46" s="528"/>
      <c r="D46" s="528"/>
      <c r="E46" s="528"/>
      <c r="F46" s="528"/>
      <c r="G46" s="528"/>
      <c r="H46" s="528"/>
      <c r="I46" s="528"/>
      <c r="J46" s="530"/>
    </row>
    <row r="47" spans="1:10">
      <c r="A47" s="535"/>
      <c r="B47" s="536"/>
      <c r="C47" s="536"/>
      <c r="D47" s="535"/>
      <c r="E47" s="535"/>
      <c r="F47" s="535"/>
      <c r="G47" s="535"/>
      <c r="H47" s="535"/>
      <c r="I47" s="535"/>
      <c r="J47" s="535"/>
    </row>
  </sheetData>
  <mergeCells count="21">
    <mergeCell ref="B21:B23"/>
    <mergeCell ref="B26:B27"/>
    <mergeCell ref="B2:C2"/>
    <mergeCell ref="B3:C3"/>
    <mergeCell ref="A1:J1"/>
    <mergeCell ref="E2:G2"/>
    <mergeCell ref="I2:J2"/>
    <mergeCell ref="E3:G3"/>
    <mergeCell ref="I3:J3"/>
    <mergeCell ref="I4:J4"/>
    <mergeCell ref="B6:C6"/>
    <mergeCell ref="E6:G6"/>
    <mergeCell ref="I6:J6"/>
    <mergeCell ref="B4:C4"/>
    <mergeCell ref="E4:G4"/>
    <mergeCell ref="B24:B25"/>
    <mergeCell ref="I5:J5"/>
    <mergeCell ref="B8:B10"/>
    <mergeCell ref="B11:B13"/>
    <mergeCell ref="B15:B16"/>
    <mergeCell ref="B17:B20"/>
  </mergeCells>
  <phoneticPr fontId="4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799" t="s">
        <v>1127</v>
      </c>
      <c r="B1" s="799"/>
      <c r="C1" s="799"/>
      <c r="D1" s="799"/>
      <c r="E1" s="799"/>
      <c r="F1" s="799"/>
      <c r="G1" s="799"/>
      <c r="H1" s="799"/>
      <c r="I1" s="504" t="e">
        <f>+#REF!</f>
        <v>#REF!</v>
      </c>
    </row>
    <row r="2" spans="1:9" ht="17.100000000000001" customHeight="1">
      <c r="A2" s="505" t="s">
        <v>1124</v>
      </c>
      <c r="B2" s="800" t="e">
        <f>+#REF!</f>
        <v>#REF!</v>
      </c>
      <c r="C2" s="800"/>
      <c r="D2" s="505" t="s">
        <v>1125</v>
      </c>
      <c r="E2" s="800" t="e">
        <f>+#REF!</f>
        <v>#REF!</v>
      </c>
      <c r="F2" s="800"/>
      <c r="G2" s="505"/>
      <c r="H2" s="507" t="s">
        <v>1126</v>
      </c>
      <c r="I2" s="506" t="e">
        <f>+#REF!</f>
        <v>#REF!</v>
      </c>
    </row>
    <row r="3" spans="1:9" ht="17.100000000000001" customHeight="1">
      <c r="A3" s="505" t="s">
        <v>9</v>
      </c>
      <c r="B3" s="801" t="e">
        <f>#REF!</f>
        <v>#REF!</v>
      </c>
      <c r="C3" s="801"/>
      <c r="D3" s="505" t="s">
        <v>1004</v>
      </c>
      <c r="E3" s="801" t="e">
        <f>#REF!</f>
        <v>#REF!</v>
      </c>
      <c r="F3" s="801"/>
      <c r="G3" s="505" t="s">
        <v>593</v>
      </c>
      <c r="H3" s="802"/>
      <c r="I3" s="801"/>
    </row>
    <row r="4" spans="1:9" ht="17.100000000000001" customHeight="1">
      <c r="A4" s="505" t="s">
        <v>1006</v>
      </c>
      <c r="B4" s="803" t="e">
        <f>+#REF!</f>
        <v>#REF!</v>
      </c>
      <c r="C4" s="803"/>
      <c r="D4" s="505" t="s">
        <v>1007</v>
      </c>
      <c r="E4" s="804">
        <f>'免漆门板单 (2)'!C6:I6</f>
        <v>0</v>
      </c>
      <c r="F4" s="804"/>
      <c r="G4" s="505" t="s">
        <v>17</v>
      </c>
      <c r="H4" s="801"/>
      <c r="I4" s="801"/>
    </row>
    <row r="5" spans="1:9" ht="17.100000000000001" customHeight="1">
      <c r="A5" s="505" t="s">
        <v>30</v>
      </c>
      <c r="B5" s="801" t="e">
        <f>#REF!</f>
        <v>#REF!</v>
      </c>
      <c r="C5" s="801"/>
      <c r="D5" s="505" t="str">
        <f>[9]下料单!M2</f>
        <v>版本型录号</v>
      </c>
      <c r="E5" s="801" t="e">
        <f>#REF!</f>
        <v>#REF!</v>
      </c>
      <c r="F5" s="801"/>
      <c r="G5" s="505" t="s">
        <v>32</v>
      </c>
      <c r="H5" s="802" t="e">
        <f>#REF!</f>
        <v>#REF!</v>
      </c>
      <c r="I5" s="802"/>
    </row>
    <row r="6" spans="1:9" ht="17.100000000000001" customHeight="1">
      <c r="A6" s="505" t="s">
        <v>34</v>
      </c>
      <c r="B6" s="505" t="s">
        <v>35</v>
      </c>
      <c r="C6" s="505" t="s">
        <v>1014</v>
      </c>
      <c r="D6" s="505" t="s">
        <v>1015</v>
      </c>
      <c r="E6" s="505" t="s">
        <v>37</v>
      </c>
      <c r="F6" s="505" t="s">
        <v>1017</v>
      </c>
      <c r="G6" s="505" t="s">
        <v>1018</v>
      </c>
      <c r="H6" s="806"/>
      <c r="I6" s="807"/>
    </row>
    <row r="7" spans="1:9" ht="17.100000000000001" customHeight="1">
      <c r="A7" s="509" t="s">
        <v>1</v>
      </c>
      <c r="B7" s="509" t="s">
        <v>48</v>
      </c>
      <c r="C7" s="509" t="s">
        <v>49</v>
      </c>
      <c r="D7" s="508" t="s">
        <v>593</v>
      </c>
      <c r="E7" s="508" t="s">
        <v>50</v>
      </c>
      <c r="F7" s="509" t="s">
        <v>52</v>
      </c>
      <c r="G7" s="509" t="s">
        <v>53</v>
      </c>
      <c r="H7" s="808" t="s">
        <v>0</v>
      </c>
      <c r="I7" s="808"/>
    </row>
    <row r="8" spans="1:9" ht="17.100000000000001" customHeight="1">
      <c r="A8" s="509">
        <v>1</v>
      </c>
      <c r="B8" s="509" t="s">
        <v>54</v>
      </c>
      <c r="C8" s="175" t="str">
        <f>'免漆门板单 (2)'!K4</f>
        <v>0块</v>
      </c>
      <c r="D8" s="509"/>
      <c r="E8" s="509"/>
      <c r="F8" s="509"/>
      <c r="G8" s="509"/>
      <c r="H8" s="805"/>
      <c r="I8" s="805"/>
    </row>
    <row r="9" spans="1:9" ht="17.100000000000001" customHeight="1">
      <c r="A9" s="509">
        <v>2</v>
      </c>
      <c r="B9" s="509" t="s">
        <v>594</v>
      </c>
      <c r="C9" s="175"/>
      <c r="D9" s="509"/>
      <c r="E9" s="509"/>
      <c r="F9" s="509"/>
      <c r="G9" s="509"/>
      <c r="H9" s="805"/>
      <c r="I9" s="805"/>
    </row>
    <row r="10" spans="1:9" ht="17.100000000000001" customHeight="1">
      <c r="A10" s="509">
        <v>3</v>
      </c>
      <c r="B10" s="509" t="s">
        <v>595</v>
      </c>
      <c r="C10" s="175"/>
      <c r="D10" s="509"/>
      <c r="E10" s="509"/>
      <c r="F10" s="509"/>
      <c r="G10" s="509"/>
      <c r="H10" s="805"/>
      <c r="I10" s="805"/>
    </row>
    <row r="11" spans="1:9" ht="17.100000000000001" customHeight="1">
      <c r="A11" s="509">
        <v>4</v>
      </c>
      <c r="B11" s="509" t="s">
        <v>596</v>
      </c>
      <c r="C11" s="175"/>
      <c r="D11" s="509"/>
      <c r="E11" s="509"/>
      <c r="F11" s="509"/>
      <c r="G11" s="509"/>
      <c r="H11" s="805"/>
      <c r="I11" s="805"/>
    </row>
    <row r="12" spans="1:9" ht="17.100000000000001" customHeight="1">
      <c r="A12" s="509">
        <v>5</v>
      </c>
      <c r="B12" s="509" t="s">
        <v>597</v>
      </c>
      <c r="C12" s="175"/>
      <c r="D12" s="509"/>
      <c r="E12" s="509"/>
      <c r="F12" s="509"/>
      <c r="G12" s="509"/>
      <c r="H12" s="805"/>
      <c r="I12" s="805"/>
    </row>
    <row r="13" spans="1:9" ht="17.100000000000001" customHeight="1">
      <c r="A13" s="509">
        <v>6</v>
      </c>
      <c r="B13" s="509" t="s">
        <v>598</v>
      </c>
      <c r="C13" s="175"/>
      <c r="D13" s="509"/>
      <c r="E13" s="509"/>
      <c r="F13" s="509"/>
      <c r="G13" s="509"/>
      <c r="H13" s="805"/>
      <c r="I13" s="805"/>
    </row>
    <row r="14" spans="1:9" ht="17.100000000000001" customHeight="1">
      <c r="A14" s="509">
        <v>7</v>
      </c>
      <c r="B14" s="509" t="s">
        <v>599</v>
      </c>
      <c r="C14" s="175"/>
      <c r="D14" s="509"/>
      <c r="E14" s="509"/>
      <c r="F14" s="509"/>
      <c r="G14" s="509"/>
      <c r="H14" s="805"/>
      <c r="I14" s="805"/>
    </row>
    <row r="15" spans="1:9" ht="17.100000000000001" customHeight="1">
      <c r="A15" s="509">
        <v>8</v>
      </c>
      <c r="B15" s="509" t="s">
        <v>600</v>
      </c>
      <c r="C15" s="175"/>
      <c r="D15" s="509"/>
      <c r="E15" s="509"/>
      <c r="F15" s="509"/>
      <c r="G15" s="509"/>
      <c r="H15" s="805"/>
      <c r="I15" s="805"/>
    </row>
    <row r="16" spans="1:9" ht="17.100000000000001" customHeight="1">
      <c r="A16" s="509">
        <v>9</v>
      </c>
      <c r="B16" s="509" t="s">
        <v>601</v>
      </c>
      <c r="C16" s="175"/>
      <c r="D16" s="509"/>
      <c r="E16" s="175"/>
      <c r="F16" s="509"/>
      <c r="G16" s="509"/>
      <c r="H16" s="805"/>
      <c r="I16" s="805"/>
    </row>
    <row r="17" spans="1:9" ht="17.100000000000001" customHeight="1">
      <c r="A17" s="509">
        <v>10</v>
      </c>
      <c r="B17" s="509" t="s">
        <v>602</v>
      </c>
      <c r="C17" s="175"/>
      <c r="D17" s="509"/>
      <c r="E17" s="509"/>
      <c r="F17" s="509"/>
      <c r="G17" s="509"/>
      <c r="H17" s="805"/>
      <c r="I17" s="805"/>
    </row>
    <row r="18" spans="1:9" ht="17.100000000000001" customHeight="1">
      <c r="A18" s="509">
        <v>11</v>
      </c>
      <c r="B18" s="509" t="s">
        <v>57</v>
      </c>
      <c r="C18" s="175"/>
      <c r="D18" s="509"/>
      <c r="E18" s="509"/>
      <c r="F18" s="509"/>
      <c r="G18" s="509"/>
      <c r="H18" s="805"/>
      <c r="I18" s="805"/>
    </row>
    <row r="19" spans="1:9" ht="17.100000000000001" customHeight="1">
      <c r="A19" s="509">
        <v>12</v>
      </c>
      <c r="B19" s="509" t="s">
        <v>27</v>
      </c>
      <c r="C19" s="175"/>
      <c r="D19" s="509"/>
      <c r="E19" s="509"/>
      <c r="F19" s="509"/>
      <c r="G19" s="509"/>
      <c r="H19" s="805"/>
      <c r="I19" s="805"/>
    </row>
    <row r="20" spans="1:9" ht="17.100000000000001" customHeight="1">
      <c r="A20" s="509">
        <v>13</v>
      </c>
      <c r="B20" s="509" t="s">
        <v>55</v>
      </c>
      <c r="C20" s="175" t="str">
        <f>C8</f>
        <v>0块</v>
      </c>
      <c r="D20" s="509"/>
      <c r="E20" s="509"/>
      <c r="F20" s="509"/>
      <c r="G20" s="509"/>
      <c r="H20" s="805"/>
      <c r="I20" s="805"/>
    </row>
    <row r="21" spans="1:9" ht="17.100000000000001" customHeight="1">
      <c r="A21" s="509">
        <v>14</v>
      </c>
      <c r="B21" s="509" t="s">
        <v>56</v>
      </c>
      <c r="C21" s="175"/>
      <c r="D21" s="509"/>
      <c r="E21" s="509"/>
      <c r="F21" s="509"/>
      <c r="G21" s="509"/>
      <c r="H21" s="805"/>
      <c r="I21" s="805"/>
    </row>
    <row r="22" spans="1:9" ht="17.100000000000001" customHeight="1">
      <c r="A22" s="509">
        <v>15</v>
      </c>
      <c r="B22" s="509" t="s">
        <v>603</v>
      </c>
      <c r="C22" s="175"/>
      <c r="D22" s="509"/>
      <c r="E22" s="509"/>
      <c r="F22" s="509"/>
      <c r="G22" s="509"/>
      <c r="H22" s="805"/>
      <c r="I22" s="805"/>
    </row>
    <row r="23" spans="1:9" ht="17.100000000000001" customHeight="1">
      <c r="A23" s="509">
        <v>16</v>
      </c>
      <c r="B23" s="509" t="s">
        <v>604</v>
      </c>
      <c r="C23" s="175"/>
      <c r="D23" s="509"/>
      <c r="E23" s="509"/>
      <c r="F23" s="509"/>
      <c r="G23" s="509"/>
      <c r="H23" s="805"/>
      <c r="I23" s="805"/>
    </row>
    <row r="24" spans="1:9" ht="17.100000000000001" customHeight="1">
      <c r="A24" s="509">
        <v>17</v>
      </c>
      <c r="B24" s="509" t="s">
        <v>605</v>
      </c>
      <c r="C24" s="175"/>
      <c r="D24" s="509"/>
      <c r="E24" s="509"/>
      <c r="F24" s="509"/>
      <c r="G24" s="509"/>
      <c r="H24" s="805"/>
      <c r="I24" s="805"/>
    </row>
    <row r="25" spans="1:9" ht="17.100000000000001" customHeight="1">
      <c r="A25" s="509">
        <v>18</v>
      </c>
      <c r="B25" s="509" t="s">
        <v>606</v>
      </c>
      <c r="C25" s="175"/>
      <c r="D25" s="509"/>
      <c r="E25" s="509"/>
      <c r="F25" s="509"/>
      <c r="G25" s="509"/>
      <c r="H25" s="805"/>
      <c r="I25" s="805"/>
    </row>
    <row r="26" spans="1:9" ht="17.100000000000001" customHeight="1">
      <c r="A26" s="509">
        <v>19</v>
      </c>
      <c r="B26" s="509" t="s">
        <v>607</v>
      </c>
      <c r="C26" s="175"/>
      <c r="D26" s="509"/>
      <c r="E26" s="509"/>
      <c r="F26" s="509"/>
      <c r="G26" s="509"/>
      <c r="H26" s="805"/>
      <c r="I26" s="805"/>
    </row>
    <row r="27" spans="1:9" ht="17.100000000000001" customHeight="1">
      <c r="A27" s="509">
        <v>20</v>
      </c>
      <c r="B27" s="509" t="s">
        <v>608</v>
      </c>
      <c r="C27" s="175"/>
      <c r="D27" s="509"/>
      <c r="E27" s="509"/>
      <c r="F27" s="509"/>
      <c r="G27" s="509"/>
      <c r="H27" s="805"/>
      <c r="I27" s="805"/>
    </row>
    <row r="28" spans="1:9" ht="17.100000000000001" customHeight="1">
      <c r="A28" s="509">
        <v>21</v>
      </c>
      <c r="B28" s="509" t="s">
        <v>609</v>
      </c>
      <c r="C28" s="175"/>
      <c r="D28" s="509"/>
      <c r="E28" s="509"/>
      <c r="F28" s="509"/>
      <c r="G28" s="509"/>
      <c r="H28" s="805"/>
      <c r="I28" s="805"/>
    </row>
    <row r="29" spans="1:9" ht="17.100000000000001" customHeight="1">
      <c r="A29" s="509">
        <v>22</v>
      </c>
      <c r="B29" s="509" t="s">
        <v>610</v>
      </c>
      <c r="C29" s="175"/>
      <c r="D29" s="509"/>
      <c r="E29" s="509"/>
      <c r="F29" s="509"/>
      <c r="G29" s="509"/>
      <c r="H29" s="805"/>
      <c r="I29" s="805"/>
    </row>
    <row r="30" spans="1:9" ht="17.100000000000001" customHeight="1">
      <c r="A30" s="509">
        <v>23</v>
      </c>
      <c r="B30" s="509" t="s">
        <v>611</v>
      </c>
      <c r="C30" s="175"/>
      <c r="D30" s="509"/>
      <c r="E30" s="509"/>
      <c r="F30" s="509"/>
      <c r="G30" s="509"/>
      <c r="H30" s="805"/>
      <c r="I30" s="805"/>
    </row>
    <row r="31" spans="1:9" ht="17.100000000000001" customHeight="1">
      <c r="A31" s="509">
        <v>24</v>
      </c>
      <c r="B31" s="509" t="s">
        <v>612</v>
      </c>
      <c r="C31" s="175"/>
      <c r="D31" s="509"/>
      <c r="E31" s="509"/>
      <c r="F31" s="509"/>
      <c r="G31" s="509"/>
      <c r="H31" s="805"/>
      <c r="I31" s="805"/>
    </row>
    <row r="32" spans="1:9" ht="17.100000000000001" customHeight="1">
      <c r="A32" s="509">
        <v>25</v>
      </c>
      <c r="B32" s="509" t="s">
        <v>613</v>
      </c>
      <c r="C32" s="175"/>
      <c r="D32" s="509"/>
      <c r="E32" s="509"/>
      <c r="F32" s="509"/>
      <c r="G32" s="509"/>
      <c r="H32" s="805"/>
      <c r="I32" s="805"/>
    </row>
    <row r="33" spans="1:9" ht="17.100000000000001" customHeight="1">
      <c r="A33" s="509">
        <v>26</v>
      </c>
      <c r="B33" s="509" t="s">
        <v>614</v>
      </c>
      <c r="C33" s="509"/>
      <c r="D33" s="509"/>
      <c r="E33" s="509"/>
      <c r="F33" s="509"/>
      <c r="G33" s="509"/>
      <c r="H33" s="805"/>
      <c r="I33" s="805"/>
    </row>
    <row r="34" spans="1:9" ht="17.100000000000001" customHeight="1">
      <c r="A34" s="509">
        <v>27</v>
      </c>
      <c r="B34" s="509" t="s">
        <v>615</v>
      </c>
      <c r="C34" s="509"/>
      <c r="D34" s="509"/>
      <c r="E34" s="509"/>
      <c r="F34" s="509"/>
      <c r="G34" s="509"/>
      <c r="H34" s="805"/>
      <c r="I34" s="805"/>
    </row>
    <row r="35" spans="1:9" ht="17.100000000000001" customHeight="1">
      <c r="A35" s="509">
        <v>28</v>
      </c>
      <c r="B35" s="509" t="s">
        <v>616</v>
      </c>
      <c r="C35" s="509"/>
      <c r="D35" s="509"/>
      <c r="E35" s="509"/>
      <c r="F35" s="509"/>
      <c r="G35" s="509"/>
      <c r="H35" s="805"/>
      <c r="I35" s="805"/>
    </row>
    <row r="36" spans="1:9" ht="17.100000000000001" customHeight="1">
      <c r="A36" s="509">
        <v>29</v>
      </c>
      <c r="B36" s="509" t="s">
        <v>617</v>
      </c>
      <c r="C36" s="509"/>
      <c r="D36" s="509"/>
      <c r="E36" s="509"/>
      <c r="F36" s="509"/>
      <c r="G36" s="509"/>
      <c r="H36" s="805"/>
      <c r="I36" s="805"/>
    </row>
    <row r="37" spans="1:9" ht="17.100000000000001" customHeight="1">
      <c r="A37" s="509">
        <v>30</v>
      </c>
      <c r="B37" s="509" t="s">
        <v>62</v>
      </c>
      <c r="C37" s="509"/>
      <c r="D37" s="509"/>
      <c r="E37" s="509"/>
      <c r="F37" s="509"/>
      <c r="G37" s="509"/>
      <c r="H37" s="805"/>
      <c r="I37" s="805"/>
    </row>
    <row r="38" spans="1:9" ht="17.100000000000001" customHeight="1">
      <c r="A38" s="509">
        <v>31</v>
      </c>
      <c r="B38" s="509" t="s">
        <v>618</v>
      </c>
      <c r="C38" s="509"/>
      <c r="D38" s="509"/>
      <c r="E38" s="509"/>
      <c r="F38" s="509"/>
      <c r="G38" s="509"/>
      <c r="H38" s="805"/>
      <c r="I38" s="805"/>
    </row>
    <row r="39" spans="1:9" ht="17.100000000000001" customHeight="1">
      <c r="A39" s="509">
        <v>32</v>
      </c>
      <c r="B39" s="509" t="s">
        <v>64</v>
      </c>
      <c r="C39" s="509"/>
      <c r="D39" s="509"/>
      <c r="E39" s="509"/>
      <c r="F39" s="509"/>
      <c r="G39" s="509"/>
      <c r="H39" s="805"/>
      <c r="I39" s="805"/>
    </row>
    <row r="40" spans="1:9" ht="17.100000000000001" customHeight="1">
      <c r="A40" s="509">
        <v>33</v>
      </c>
      <c r="B40" s="509" t="s">
        <v>65</v>
      </c>
      <c r="C40" s="509"/>
      <c r="D40" s="509"/>
      <c r="E40" s="509"/>
      <c r="F40" s="509"/>
      <c r="G40" s="509"/>
      <c r="H40" s="805"/>
      <c r="I40" s="805"/>
    </row>
    <row r="41" spans="1:9" ht="17.100000000000001" customHeight="1">
      <c r="A41" s="509">
        <v>34</v>
      </c>
      <c r="B41" s="509" t="s">
        <v>67</v>
      </c>
      <c r="C41" s="509"/>
      <c r="D41" s="509"/>
      <c r="E41" s="509"/>
      <c r="F41" s="509"/>
      <c r="G41" s="509"/>
      <c r="H41" s="805"/>
      <c r="I41" s="805"/>
    </row>
    <row r="42" spans="1:9" ht="17.100000000000001" customHeight="1">
      <c r="A42" s="509">
        <v>35</v>
      </c>
      <c r="B42" s="509" t="s">
        <v>69</v>
      </c>
      <c r="C42" s="509"/>
      <c r="D42" s="509"/>
      <c r="E42" s="509"/>
      <c r="F42" s="509"/>
      <c r="G42" s="509"/>
      <c r="H42" s="805"/>
      <c r="I42" s="805"/>
    </row>
    <row r="43" spans="1:9" ht="17.100000000000001" customHeight="1">
      <c r="A43" s="509">
        <v>36</v>
      </c>
      <c r="B43" s="509" t="s">
        <v>619</v>
      </c>
      <c r="C43" s="509"/>
      <c r="D43" s="509"/>
      <c r="E43" s="509"/>
      <c r="F43" s="509"/>
      <c r="G43" s="509"/>
      <c r="H43" s="805"/>
      <c r="I43" s="805"/>
    </row>
    <row r="44" spans="1:9" ht="17.100000000000001" customHeight="1">
      <c r="A44" s="509">
        <v>37</v>
      </c>
      <c r="B44" s="509" t="s">
        <v>73</v>
      </c>
      <c r="C44" s="509"/>
      <c r="D44" s="509"/>
      <c r="E44" s="509"/>
      <c r="F44" s="509"/>
      <c r="G44" s="509"/>
      <c r="H44" s="805"/>
      <c r="I44" s="805"/>
    </row>
    <row r="45" spans="1:9" ht="17.100000000000001" customHeight="1">
      <c r="A45" s="509">
        <v>38</v>
      </c>
      <c r="B45" s="509" t="s">
        <v>620</v>
      </c>
      <c r="C45" s="509"/>
      <c r="D45" s="509"/>
      <c r="E45" s="509"/>
      <c r="F45" s="509"/>
      <c r="G45" s="509"/>
      <c r="H45" s="805"/>
      <c r="I45" s="805"/>
    </row>
    <row r="46" spans="1:9" ht="17.100000000000001" customHeight="1">
      <c r="A46" s="509">
        <v>39</v>
      </c>
      <c r="B46" s="509" t="s">
        <v>74</v>
      </c>
      <c r="C46" s="509"/>
      <c r="D46" s="509"/>
      <c r="E46" s="509"/>
      <c r="F46" s="509"/>
      <c r="G46" s="509"/>
      <c r="H46" s="805"/>
      <c r="I46" s="805"/>
    </row>
    <row r="47" spans="1:9" ht="17.100000000000001" customHeight="1">
      <c r="A47" s="176"/>
      <c r="B47" s="174" t="s">
        <v>76</v>
      </c>
      <c r="C47" s="177"/>
      <c r="D47" s="178"/>
      <c r="E47" s="177" t="s">
        <v>621</v>
      </c>
      <c r="F47" s="176"/>
      <c r="G47" s="176"/>
      <c r="H47" s="176"/>
    </row>
  </sheetData>
  <mergeCells count="53">
    <mergeCell ref="H42:I42"/>
    <mergeCell ref="H43:I43"/>
    <mergeCell ref="H44:I44"/>
    <mergeCell ref="H45:I45"/>
    <mergeCell ref="H46:I46"/>
    <mergeCell ref="H41:I41"/>
    <mergeCell ref="H30:I30"/>
    <mergeCell ref="H31:I31"/>
    <mergeCell ref="H32:I32"/>
    <mergeCell ref="H33:I33"/>
    <mergeCell ref="H34:I34"/>
    <mergeCell ref="H35:I35"/>
    <mergeCell ref="H36:I36"/>
    <mergeCell ref="H37:I37"/>
    <mergeCell ref="H38:I38"/>
    <mergeCell ref="H39:I39"/>
    <mergeCell ref="H40:I40"/>
    <mergeCell ref="H29:I29"/>
    <mergeCell ref="H18:I18"/>
    <mergeCell ref="H19:I19"/>
    <mergeCell ref="H20:I20"/>
    <mergeCell ref="H21:I21"/>
    <mergeCell ref="H22:I22"/>
    <mergeCell ref="H23:I23"/>
    <mergeCell ref="H24:I24"/>
    <mergeCell ref="H25:I25"/>
    <mergeCell ref="H26:I26"/>
    <mergeCell ref="H27:I27"/>
    <mergeCell ref="H28:I28"/>
    <mergeCell ref="H17:I17"/>
    <mergeCell ref="H6:I6"/>
    <mergeCell ref="H7:I7"/>
    <mergeCell ref="H8:I8"/>
    <mergeCell ref="H9:I9"/>
    <mergeCell ref="H10:I10"/>
    <mergeCell ref="H11:I11"/>
    <mergeCell ref="H12:I12"/>
    <mergeCell ref="H13:I13"/>
    <mergeCell ref="H14:I14"/>
    <mergeCell ref="H15:I15"/>
    <mergeCell ref="H16:I16"/>
    <mergeCell ref="B4:C4"/>
    <mergeCell ref="E4:F4"/>
    <mergeCell ref="H4:I4"/>
    <mergeCell ref="B5:C5"/>
    <mergeCell ref="E5:F5"/>
    <mergeCell ref="H5:I5"/>
    <mergeCell ref="A1:H1"/>
    <mergeCell ref="B2:C2"/>
    <mergeCell ref="E2:F2"/>
    <mergeCell ref="B3:C3"/>
    <mergeCell ref="E3:F3"/>
    <mergeCell ref="H3:I3"/>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97" customWidth="1"/>
    <col min="2" max="2" width="6.25" style="97" customWidth="1"/>
    <col min="3" max="3" width="6.375" style="97" customWidth="1"/>
    <col min="4" max="4" width="5.375" style="97" customWidth="1"/>
    <col min="5" max="5" width="5.875" style="121" customWidth="1"/>
    <col min="6" max="6" width="5.75" style="154" customWidth="1"/>
    <col min="7" max="7" width="5.25" style="97" customWidth="1"/>
    <col min="8" max="8" width="5.625" style="97" customWidth="1"/>
    <col min="9" max="9" width="7.875" style="97" customWidth="1"/>
    <col min="10" max="10" width="9" style="97"/>
    <col min="11" max="11" width="12.25" style="97" customWidth="1"/>
    <col min="12" max="16" width="9" style="97"/>
    <col min="17" max="17" width="9" style="97" customWidth="1"/>
    <col min="18" max="18" width="15.5" style="97" customWidth="1"/>
    <col min="19" max="19" width="11.25" style="97" customWidth="1"/>
    <col min="20" max="21" width="9" style="97" customWidth="1"/>
    <col min="22" max="22" width="43" style="97" customWidth="1"/>
    <col min="23" max="23" width="36.125" style="97" customWidth="1"/>
    <col min="24" max="24" width="39.625" style="97" customWidth="1"/>
    <col min="25" max="25" width="23.375" style="97" customWidth="1"/>
    <col min="26" max="16384" width="9" style="97"/>
  </cols>
  <sheetData>
    <row r="1" spans="1:26" ht="12.95" customHeight="1">
      <c r="A1" s="94"/>
      <c r="B1" s="94"/>
      <c r="C1" s="94"/>
      <c r="D1" s="94"/>
      <c r="E1" s="95"/>
      <c r="F1" s="96"/>
    </row>
    <row r="2" spans="1:26" ht="12.95" customHeight="1">
      <c r="A2" s="98"/>
      <c r="B2" s="98"/>
      <c r="C2" s="98"/>
      <c r="D2" s="98"/>
      <c r="E2" s="95"/>
      <c r="F2" s="809" t="s">
        <v>622</v>
      </c>
      <c r="G2" s="809"/>
      <c r="H2" s="809"/>
      <c r="I2" s="809"/>
      <c r="J2" s="809"/>
      <c r="K2" s="809"/>
    </row>
    <row r="3" spans="1:26" ht="18.75">
      <c r="A3" s="810" t="s">
        <v>495</v>
      </c>
      <c r="B3" s="810"/>
      <c r="C3" s="810"/>
      <c r="D3" s="810"/>
      <c r="E3" s="810"/>
      <c r="F3" s="810"/>
      <c r="G3" s="810"/>
      <c r="H3" s="810"/>
      <c r="I3" s="810"/>
      <c r="J3" s="810"/>
      <c r="K3" s="810"/>
      <c r="L3" s="97">
        <f>VLOOKUP(C6,V:Z,5,0)</f>
        <v>0</v>
      </c>
    </row>
    <row r="4" spans="1:26" ht="18" customHeight="1">
      <c r="A4" s="811" t="s">
        <v>496</v>
      </c>
      <c r="B4" s="811"/>
      <c r="C4" s="812" t="e">
        <f>#REF!</f>
        <v>#REF!</v>
      </c>
      <c r="D4" s="812"/>
      <c r="E4" s="812"/>
      <c r="F4" s="813" t="s">
        <v>445</v>
      </c>
      <c r="G4" s="813"/>
      <c r="H4" s="812" t="e">
        <f>#REF!</f>
        <v>#REF!</v>
      </c>
      <c r="I4" s="812"/>
      <c r="J4" s="510" t="s">
        <v>497</v>
      </c>
      <c r="K4" s="99" t="str">
        <f>SUM(D10:D37)&amp;"块"</f>
        <v>0块</v>
      </c>
    </row>
    <row r="5" spans="1:26" ht="19.5" customHeight="1">
      <c r="A5" s="813" t="s">
        <v>8</v>
      </c>
      <c r="B5" s="813"/>
      <c r="C5" s="818" t="e">
        <f>#REF!</f>
        <v>#REF!</v>
      </c>
      <c r="D5" s="818"/>
      <c r="E5" s="818"/>
      <c r="F5" s="813" t="s">
        <v>6</v>
      </c>
      <c r="G5" s="813"/>
      <c r="H5" s="819"/>
      <c r="I5" s="820"/>
      <c r="J5" s="510" t="s">
        <v>451</v>
      </c>
      <c r="K5" s="100" t="e">
        <f>#REF!</f>
        <v>#REF!</v>
      </c>
      <c r="R5" s="97" t="s">
        <v>498</v>
      </c>
      <c r="S5" s="97" t="s">
        <v>58</v>
      </c>
    </row>
    <row r="6" spans="1:26" ht="19.5" customHeight="1">
      <c r="A6" s="813" t="s">
        <v>499</v>
      </c>
      <c r="B6" s="813"/>
      <c r="C6" s="821" t="s">
        <v>500</v>
      </c>
      <c r="D6" s="821"/>
      <c r="E6" s="821"/>
      <c r="F6" s="821"/>
      <c r="G6" s="821"/>
      <c r="H6" s="821"/>
      <c r="I6" s="821"/>
      <c r="J6" s="510" t="s">
        <v>452</v>
      </c>
      <c r="K6" s="101" t="e">
        <f>#REF!</f>
        <v>#REF!</v>
      </c>
      <c r="R6" s="97" t="s">
        <v>501</v>
      </c>
      <c r="S6" s="97" t="s">
        <v>502</v>
      </c>
      <c r="T6" s="97" t="s">
        <v>503</v>
      </c>
    </row>
    <row r="7" spans="1:26" ht="14.25" customHeight="1" thickBot="1">
      <c r="A7" s="512"/>
      <c r="B7" s="512"/>
      <c r="C7" s="102"/>
      <c r="D7" s="102"/>
      <c r="E7" s="103"/>
      <c r="F7" s="104"/>
      <c r="G7" s="512"/>
      <c r="H7" s="512"/>
      <c r="I7" s="105"/>
      <c r="J7" s="105"/>
      <c r="K7" s="106"/>
      <c r="R7" s="97" t="s">
        <v>504</v>
      </c>
      <c r="S7" s="97" t="s">
        <v>502</v>
      </c>
      <c r="T7" s="97">
        <v>3</v>
      </c>
    </row>
    <row r="8" spans="1:26" ht="18" customHeight="1">
      <c r="A8" s="107" t="s">
        <v>505</v>
      </c>
      <c r="B8" s="822" t="s">
        <v>506</v>
      </c>
      <c r="C8" s="822"/>
      <c r="D8" s="822"/>
      <c r="E8" s="823" t="s">
        <v>507</v>
      </c>
      <c r="F8" s="823"/>
      <c r="G8" s="823"/>
      <c r="H8" s="824" t="s">
        <v>508</v>
      </c>
      <c r="I8" s="825"/>
      <c r="J8" s="825"/>
      <c r="K8" s="826"/>
      <c r="R8" s="97" t="s">
        <v>509</v>
      </c>
      <c r="S8" s="97" t="s">
        <v>502</v>
      </c>
      <c r="T8" s="97">
        <v>1</v>
      </c>
      <c r="W8" s="105"/>
      <c r="X8" s="105"/>
      <c r="Y8" s="105"/>
    </row>
    <row r="9" spans="1:26" ht="22.5" customHeight="1">
      <c r="A9" s="108" t="s">
        <v>510</v>
      </c>
      <c r="B9" s="109" t="s">
        <v>461</v>
      </c>
      <c r="C9" s="109" t="s">
        <v>511</v>
      </c>
      <c r="D9" s="109" t="s">
        <v>5</v>
      </c>
      <c r="E9" s="110" t="s">
        <v>461</v>
      </c>
      <c r="F9" s="111" t="s">
        <v>511</v>
      </c>
      <c r="G9" s="109" t="s">
        <v>5</v>
      </c>
      <c r="H9" s="814" t="s">
        <v>512</v>
      </c>
      <c r="I9" s="815"/>
      <c r="J9" s="814" t="s">
        <v>0</v>
      </c>
      <c r="K9" s="827"/>
      <c r="L9" s="112" t="s">
        <v>2</v>
      </c>
      <c r="M9" s="112" t="s">
        <v>513</v>
      </c>
      <c r="N9" s="112" t="s">
        <v>514</v>
      </c>
      <c r="O9" s="113" t="s">
        <v>515</v>
      </c>
      <c r="R9" s="97" t="s">
        <v>516</v>
      </c>
      <c r="S9" s="97" t="s">
        <v>58</v>
      </c>
      <c r="V9" s="97" t="str">
        <f t="shared" ref="V9:V22" si="0">W9&amp;"+"&amp;Y9</f>
        <v>M01-01触感浅橡(横纹）+2.0*22浅橡PVC</v>
      </c>
      <c r="W9" s="105" t="s">
        <v>517</v>
      </c>
      <c r="X9" s="105" t="s">
        <v>518</v>
      </c>
      <c r="Y9" s="97" t="s">
        <v>519</v>
      </c>
      <c r="Z9" s="97">
        <v>2</v>
      </c>
    </row>
    <row r="10" spans="1:26" ht="17.100000000000001" customHeight="1">
      <c r="A10" s="114"/>
      <c r="B10" s="115"/>
      <c r="C10" s="115"/>
      <c r="D10" s="116"/>
      <c r="E10" s="117">
        <f>C10-3</f>
        <v>-3</v>
      </c>
      <c r="F10" s="118">
        <f>B10-3</f>
        <v>-3</v>
      </c>
      <c r="G10" s="116">
        <f>D10</f>
        <v>0</v>
      </c>
      <c r="H10" s="814"/>
      <c r="I10" s="815"/>
      <c r="J10" s="816"/>
      <c r="K10" s="817"/>
      <c r="L10" s="97">
        <f>(B10+C10+80)*2*G10/1000</f>
        <v>0</v>
      </c>
      <c r="M10" s="97">
        <f>(B10+C10)*D10*2/0.9/1000</f>
        <v>0</v>
      </c>
      <c r="N10" s="97">
        <f t="shared" ref="N10:N37" si="1">B10*C10*D10/1000000</f>
        <v>0</v>
      </c>
      <c r="O10" s="97">
        <f>B10*C10*D10/1000000/2.88/0.85</f>
        <v>0</v>
      </c>
      <c r="Q10" s="97">
        <f>B10*C10*D10/1000000/2.88</f>
        <v>0</v>
      </c>
      <c r="V10" s="97" t="str">
        <f t="shared" si="0"/>
        <v>M03-01触感红樱桃(横纹）+2.0*22红樱桃橡PVC</v>
      </c>
      <c r="W10" s="105" t="s">
        <v>520</v>
      </c>
      <c r="X10" s="105" t="s">
        <v>521</v>
      </c>
      <c r="Y10" s="97" t="s">
        <v>522</v>
      </c>
      <c r="Z10" s="97">
        <v>3</v>
      </c>
    </row>
    <row r="11" spans="1:26" ht="17.100000000000001" customHeight="1">
      <c r="A11" s="114"/>
      <c r="B11" s="115"/>
      <c r="C11" s="115"/>
      <c r="D11" s="116"/>
      <c r="E11" s="117">
        <f t="shared" ref="E11:E36" si="2">C11-3</f>
        <v>-3</v>
      </c>
      <c r="F11" s="118">
        <f t="shared" ref="F11:F36" si="3">B11-3</f>
        <v>-3</v>
      </c>
      <c r="G11" s="116">
        <f t="shared" ref="G11:G36" si="4">D11</f>
        <v>0</v>
      </c>
      <c r="H11" s="814"/>
      <c r="I11" s="815"/>
      <c r="J11" s="816"/>
      <c r="K11" s="817"/>
      <c r="L11" s="97">
        <f t="shared" ref="L11:L37" si="5">(B11+C11+80)*2*G11/1000</f>
        <v>0</v>
      </c>
      <c r="M11" s="97">
        <f t="shared" ref="M11:M37" si="6">(B11+C11)*D11*2/0.9/1000</f>
        <v>0</v>
      </c>
      <c r="N11" s="97">
        <f t="shared" si="1"/>
        <v>0</v>
      </c>
      <c r="O11" s="97">
        <f t="shared" ref="O11:O37" si="7">B11*C11*D11/1000000/2.88/0.85</f>
        <v>0</v>
      </c>
      <c r="Q11" s="97">
        <f t="shared" ref="Q11:Q36" si="8">B11*C11*D11/1000000/2.88</f>
        <v>0</v>
      </c>
      <c r="V11" s="97" t="str">
        <f t="shared" si="0"/>
        <v>M06-01触感深橡(横纹）+2.0*22深橡PVC</v>
      </c>
      <c r="W11" s="105" t="s">
        <v>523</v>
      </c>
      <c r="X11" s="105" t="s">
        <v>524</v>
      </c>
      <c r="Y11" s="97" t="s">
        <v>525</v>
      </c>
      <c r="Z11" s="97">
        <v>2</v>
      </c>
    </row>
    <row r="12" spans="1:26" ht="17.100000000000001" customHeight="1">
      <c r="A12" s="114"/>
      <c r="B12" s="115"/>
      <c r="C12" s="115"/>
      <c r="D12" s="116"/>
      <c r="E12" s="117">
        <f t="shared" si="2"/>
        <v>-3</v>
      </c>
      <c r="F12" s="118">
        <f t="shared" si="3"/>
        <v>-3</v>
      </c>
      <c r="G12" s="116">
        <f t="shared" si="4"/>
        <v>0</v>
      </c>
      <c r="H12" s="814"/>
      <c r="I12" s="815"/>
      <c r="J12" s="816"/>
      <c r="K12" s="817"/>
      <c r="L12" s="97">
        <f t="shared" si="5"/>
        <v>0</v>
      </c>
      <c r="M12" s="97">
        <f t="shared" si="6"/>
        <v>0</v>
      </c>
      <c r="N12" s="97">
        <f t="shared" si="1"/>
        <v>0</v>
      </c>
      <c r="O12" s="97">
        <f t="shared" si="7"/>
        <v>0</v>
      </c>
      <c r="Q12" s="97">
        <f t="shared" si="8"/>
        <v>0</v>
      </c>
      <c r="W12" s="105"/>
      <c r="X12" s="105"/>
    </row>
    <row r="13" spans="1:26" ht="17.100000000000001" customHeight="1">
      <c r="A13" s="114"/>
      <c r="B13" s="115"/>
      <c r="C13" s="115"/>
      <c r="D13" s="116"/>
      <c r="E13" s="117">
        <f t="shared" si="2"/>
        <v>-3</v>
      </c>
      <c r="F13" s="118">
        <f t="shared" si="3"/>
        <v>-3</v>
      </c>
      <c r="G13" s="116">
        <f t="shared" si="4"/>
        <v>0</v>
      </c>
      <c r="H13" s="814"/>
      <c r="I13" s="815"/>
      <c r="J13" s="816"/>
      <c r="K13" s="817"/>
      <c r="L13" s="97">
        <f t="shared" si="5"/>
        <v>0</v>
      </c>
      <c r="M13" s="97">
        <f t="shared" si="6"/>
        <v>0</v>
      </c>
      <c r="N13" s="97">
        <f t="shared" si="1"/>
        <v>0</v>
      </c>
      <c r="O13" s="97">
        <f t="shared" si="7"/>
        <v>0</v>
      </c>
      <c r="Q13" s="97">
        <f t="shared" si="8"/>
        <v>0</v>
      </c>
      <c r="W13" s="105"/>
      <c r="X13" s="105"/>
    </row>
    <row r="14" spans="1:26" ht="17.100000000000001" customHeight="1">
      <c r="A14" s="114"/>
      <c r="B14" s="115"/>
      <c r="C14" s="115"/>
      <c r="D14" s="116"/>
      <c r="E14" s="117">
        <f t="shared" si="2"/>
        <v>-3</v>
      </c>
      <c r="F14" s="118">
        <f t="shared" si="3"/>
        <v>-3</v>
      </c>
      <c r="G14" s="116">
        <f t="shared" si="4"/>
        <v>0</v>
      </c>
      <c r="H14" s="814"/>
      <c r="I14" s="815"/>
      <c r="J14" s="816"/>
      <c r="K14" s="817"/>
      <c r="L14" s="97">
        <f t="shared" si="5"/>
        <v>0</v>
      </c>
      <c r="M14" s="97">
        <f t="shared" si="6"/>
        <v>0</v>
      </c>
      <c r="N14" s="97">
        <f t="shared" si="1"/>
        <v>0</v>
      </c>
      <c r="O14" s="97">
        <f t="shared" si="7"/>
        <v>0</v>
      </c>
      <c r="Q14" s="97">
        <f t="shared" si="8"/>
        <v>0</v>
      </c>
      <c r="V14" s="97" t="str">
        <f t="shared" si="0"/>
        <v>M11暖白+2.0*22暖白PVC</v>
      </c>
      <c r="W14" s="105" t="s">
        <v>526</v>
      </c>
      <c r="X14" s="105" t="s">
        <v>527</v>
      </c>
      <c r="Y14" s="105" t="s">
        <v>528</v>
      </c>
    </row>
    <row r="15" spans="1:26" ht="17.100000000000001" customHeight="1">
      <c r="A15" s="114"/>
      <c r="B15" s="115"/>
      <c r="C15" s="115"/>
      <c r="D15" s="116"/>
      <c r="E15" s="117">
        <f t="shared" si="2"/>
        <v>-3</v>
      </c>
      <c r="F15" s="118">
        <f t="shared" si="3"/>
        <v>-3</v>
      </c>
      <c r="G15" s="116">
        <f t="shared" si="4"/>
        <v>0</v>
      </c>
      <c r="H15" s="814"/>
      <c r="I15" s="815"/>
      <c r="J15" s="816"/>
      <c r="K15" s="817"/>
      <c r="L15" s="97">
        <f t="shared" si="5"/>
        <v>0</v>
      </c>
      <c r="M15" s="97">
        <f t="shared" si="6"/>
        <v>0</v>
      </c>
      <c r="N15" s="97">
        <f t="shared" si="1"/>
        <v>0</v>
      </c>
      <c r="O15" s="97">
        <f t="shared" si="7"/>
        <v>0</v>
      </c>
      <c r="Q15" s="97">
        <f t="shared" si="8"/>
        <v>0</v>
      </c>
      <c r="S15" s="105"/>
      <c r="V15" s="97" t="str">
        <f t="shared" si="0"/>
        <v>M07艺术胡桃(横纹）+2.0*22艺术胡桃PVC</v>
      </c>
      <c r="W15" s="105" t="s">
        <v>529</v>
      </c>
      <c r="X15" s="119" t="s">
        <v>530</v>
      </c>
      <c r="Y15" s="105" t="s">
        <v>531</v>
      </c>
      <c r="Z15" s="97">
        <v>3</v>
      </c>
    </row>
    <row r="16" spans="1:26" ht="17.100000000000001" customHeight="1">
      <c r="A16" s="114"/>
      <c r="B16" s="115"/>
      <c r="C16" s="115"/>
      <c r="D16" s="116"/>
      <c r="E16" s="117">
        <f t="shared" si="2"/>
        <v>-3</v>
      </c>
      <c r="F16" s="118">
        <f t="shared" si="3"/>
        <v>-3</v>
      </c>
      <c r="G16" s="116">
        <f t="shared" si="4"/>
        <v>0</v>
      </c>
      <c r="H16" s="814"/>
      <c r="I16" s="815"/>
      <c r="J16" s="816"/>
      <c r="K16" s="817"/>
      <c r="L16" s="97">
        <f t="shared" si="5"/>
        <v>0</v>
      </c>
      <c r="M16" s="97">
        <f t="shared" si="6"/>
        <v>0</v>
      </c>
      <c r="N16" s="97">
        <f t="shared" si="1"/>
        <v>0</v>
      </c>
      <c r="O16" s="97">
        <f t="shared" si="7"/>
        <v>0</v>
      </c>
      <c r="Q16" s="97">
        <f t="shared" si="8"/>
        <v>0</v>
      </c>
      <c r="V16" s="97" t="str">
        <f t="shared" si="0"/>
        <v>M13荷花白+2.0*22荷花白PVC</v>
      </c>
      <c r="W16" s="97" t="s">
        <v>532</v>
      </c>
      <c r="X16" s="120" t="s">
        <v>533</v>
      </c>
      <c r="Y16" s="105" t="s">
        <v>534</v>
      </c>
      <c r="Z16" s="97">
        <v>1</v>
      </c>
    </row>
    <row r="17" spans="1:26" ht="17.100000000000001" customHeight="1">
      <c r="A17" s="114"/>
      <c r="B17" s="115"/>
      <c r="C17" s="115"/>
      <c r="D17" s="116"/>
      <c r="E17" s="117">
        <f t="shared" si="2"/>
        <v>-3</v>
      </c>
      <c r="F17" s="118">
        <f t="shared" si="3"/>
        <v>-3</v>
      </c>
      <c r="G17" s="116">
        <f t="shared" si="4"/>
        <v>0</v>
      </c>
      <c r="H17" s="814"/>
      <c r="I17" s="815"/>
      <c r="J17" s="816"/>
      <c r="K17" s="817"/>
      <c r="L17" s="97">
        <f t="shared" si="5"/>
        <v>0</v>
      </c>
      <c r="M17" s="97">
        <f t="shared" si="6"/>
        <v>0</v>
      </c>
      <c r="N17" s="121">
        <f t="shared" si="1"/>
        <v>0</v>
      </c>
      <c r="O17" s="97">
        <f t="shared" si="7"/>
        <v>0</v>
      </c>
      <c r="Q17" s="97">
        <f t="shared" si="8"/>
        <v>0</v>
      </c>
      <c r="V17" s="97" t="s">
        <v>535</v>
      </c>
      <c r="W17" s="97" t="s">
        <v>536</v>
      </c>
      <c r="X17" s="97" t="s">
        <v>537</v>
      </c>
      <c r="Y17" s="105" t="s">
        <v>538</v>
      </c>
      <c r="Z17" s="97">
        <v>1</v>
      </c>
    </row>
    <row r="18" spans="1:26" ht="17.100000000000001" customHeight="1">
      <c r="A18" s="114"/>
      <c r="B18" s="115"/>
      <c r="C18" s="115"/>
      <c r="D18" s="116"/>
      <c r="E18" s="117">
        <f t="shared" si="2"/>
        <v>-3</v>
      </c>
      <c r="F18" s="118">
        <f t="shared" si="3"/>
        <v>-3</v>
      </c>
      <c r="G18" s="116">
        <f t="shared" si="4"/>
        <v>0</v>
      </c>
      <c r="H18" s="814"/>
      <c r="I18" s="815"/>
      <c r="J18" s="816"/>
      <c r="K18" s="817"/>
      <c r="L18" s="97">
        <f t="shared" si="5"/>
        <v>0</v>
      </c>
      <c r="M18" s="97">
        <f t="shared" si="6"/>
        <v>0</v>
      </c>
      <c r="N18" s="121">
        <f t="shared" si="1"/>
        <v>0</v>
      </c>
      <c r="O18" s="97">
        <f t="shared" si="7"/>
        <v>0</v>
      </c>
      <c r="Q18" s="97">
        <f t="shared" si="8"/>
        <v>0</v>
      </c>
      <c r="V18" s="97" t="str">
        <f t="shared" si="0"/>
        <v>M17豆绿哑光+T型铝封边</v>
      </c>
      <c r="W18" s="97" t="s">
        <v>539</v>
      </c>
      <c r="X18" s="97" t="s">
        <v>540</v>
      </c>
      <c r="Y18" s="105" t="s">
        <v>58</v>
      </c>
      <c r="Z18" s="97">
        <v>1</v>
      </c>
    </row>
    <row r="19" spans="1:26" ht="17.100000000000001" customHeight="1">
      <c r="A19" s="114"/>
      <c r="B19" s="115"/>
      <c r="C19" s="115"/>
      <c r="D19" s="116"/>
      <c r="E19" s="117">
        <f t="shared" si="2"/>
        <v>-3</v>
      </c>
      <c r="F19" s="118">
        <f t="shared" si="3"/>
        <v>-3</v>
      </c>
      <c r="G19" s="116">
        <f t="shared" si="4"/>
        <v>0</v>
      </c>
      <c r="H19" s="814"/>
      <c r="I19" s="815"/>
      <c r="J19" s="816"/>
      <c r="K19" s="817"/>
      <c r="L19" s="97">
        <f t="shared" si="5"/>
        <v>0</v>
      </c>
      <c r="M19" s="97">
        <f t="shared" si="6"/>
        <v>0</v>
      </c>
      <c r="N19" s="121">
        <f t="shared" si="1"/>
        <v>0</v>
      </c>
      <c r="O19" s="97">
        <f t="shared" si="7"/>
        <v>0</v>
      </c>
      <c r="Q19" s="97">
        <f t="shared" si="8"/>
        <v>0</v>
      </c>
      <c r="V19" s="97" t="str">
        <f t="shared" si="0"/>
        <v>M28白蜡木(横纹）+2.0*22白蜡木PVC</v>
      </c>
      <c r="W19" s="105" t="s">
        <v>541</v>
      </c>
      <c r="X19" s="105" t="s">
        <v>542</v>
      </c>
      <c r="Y19" s="105" t="s">
        <v>543</v>
      </c>
      <c r="Z19" s="97">
        <v>3</v>
      </c>
    </row>
    <row r="20" spans="1:26" ht="17.100000000000001" customHeight="1">
      <c r="A20" s="114"/>
      <c r="B20" s="115"/>
      <c r="C20" s="115"/>
      <c r="D20" s="116"/>
      <c r="E20" s="117">
        <f t="shared" si="2"/>
        <v>-3</v>
      </c>
      <c r="F20" s="118">
        <f t="shared" si="3"/>
        <v>-3</v>
      </c>
      <c r="G20" s="116">
        <f t="shared" si="4"/>
        <v>0</v>
      </c>
      <c r="H20" s="814"/>
      <c r="I20" s="815"/>
      <c r="J20" s="816"/>
      <c r="K20" s="817"/>
      <c r="L20" s="97">
        <f t="shared" si="5"/>
        <v>0</v>
      </c>
      <c r="M20" s="97">
        <f t="shared" si="6"/>
        <v>0</v>
      </c>
      <c r="N20" s="121">
        <f t="shared" si="1"/>
        <v>0</v>
      </c>
      <c r="O20" s="97">
        <f t="shared" si="7"/>
        <v>0</v>
      </c>
      <c r="Q20" s="97">
        <f t="shared" si="8"/>
        <v>0</v>
      </c>
      <c r="V20" s="97" t="str">
        <f t="shared" si="0"/>
        <v>M01-2浮雕浅橡(横纹）+2.0*22浮雕浅橡PVC</v>
      </c>
      <c r="W20" s="105" t="s">
        <v>544</v>
      </c>
      <c r="X20" s="105" t="s">
        <v>545</v>
      </c>
      <c r="Y20" s="97" t="s">
        <v>546</v>
      </c>
      <c r="Z20" s="97">
        <v>2</v>
      </c>
    </row>
    <row r="21" spans="1:26" ht="17.100000000000001" customHeight="1">
      <c r="A21" s="114"/>
      <c r="B21" s="115"/>
      <c r="C21" s="115"/>
      <c r="D21" s="116"/>
      <c r="E21" s="117">
        <f t="shared" si="2"/>
        <v>-3</v>
      </c>
      <c r="F21" s="118">
        <f t="shared" si="3"/>
        <v>-3</v>
      </c>
      <c r="G21" s="116">
        <f t="shared" si="4"/>
        <v>0</v>
      </c>
      <c r="H21" s="814"/>
      <c r="I21" s="815"/>
      <c r="J21" s="816"/>
      <c r="K21" s="817"/>
      <c r="L21" s="97">
        <f t="shared" si="5"/>
        <v>0</v>
      </c>
      <c r="M21" s="97">
        <f t="shared" si="6"/>
        <v>0</v>
      </c>
      <c r="N21" s="121">
        <f t="shared" si="1"/>
        <v>0</v>
      </c>
      <c r="O21" s="97">
        <f t="shared" si="7"/>
        <v>0</v>
      </c>
      <c r="Q21" s="97">
        <f t="shared" si="8"/>
        <v>0</v>
      </c>
      <c r="V21" s="97" t="str">
        <f t="shared" si="0"/>
        <v>M29-深胡桃(横纹）+2.0*22深胡桃PVC</v>
      </c>
      <c r="W21" s="105" t="s">
        <v>547</v>
      </c>
      <c r="X21" s="105" t="s">
        <v>548</v>
      </c>
      <c r="Y21" s="97" t="s">
        <v>549</v>
      </c>
      <c r="Z21" s="97">
        <v>2</v>
      </c>
    </row>
    <row r="22" spans="1:26" ht="17.100000000000001" customHeight="1">
      <c r="A22" s="114"/>
      <c r="B22" s="115"/>
      <c r="C22" s="115"/>
      <c r="D22" s="116"/>
      <c r="E22" s="117">
        <f t="shared" si="2"/>
        <v>-3</v>
      </c>
      <c r="F22" s="118">
        <f t="shared" si="3"/>
        <v>-3</v>
      </c>
      <c r="G22" s="116">
        <f t="shared" si="4"/>
        <v>0</v>
      </c>
      <c r="H22" s="814"/>
      <c r="I22" s="815"/>
      <c r="J22" s="816"/>
      <c r="K22" s="817"/>
      <c r="L22" s="97">
        <f t="shared" si="5"/>
        <v>0</v>
      </c>
      <c r="M22" s="97">
        <f t="shared" si="6"/>
        <v>0</v>
      </c>
      <c r="N22" s="97">
        <f t="shared" si="1"/>
        <v>0</v>
      </c>
      <c r="O22" s="97">
        <f t="shared" si="7"/>
        <v>0</v>
      </c>
      <c r="Q22" s="97">
        <f t="shared" si="8"/>
        <v>0</v>
      </c>
      <c r="V22" s="97" t="str">
        <f t="shared" si="0"/>
        <v>M30柚木(横纹）+2.0*22柚木PVC</v>
      </c>
      <c r="W22" s="105" t="s">
        <v>550</v>
      </c>
      <c r="X22" s="105" t="s">
        <v>551</v>
      </c>
      <c r="Y22" s="105" t="s">
        <v>552</v>
      </c>
      <c r="Z22" s="97">
        <v>2</v>
      </c>
    </row>
    <row r="23" spans="1:26" ht="17.100000000000001" customHeight="1">
      <c r="A23" s="114"/>
      <c r="B23" s="115"/>
      <c r="C23" s="115"/>
      <c r="D23" s="116"/>
      <c r="E23" s="117">
        <f t="shared" si="2"/>
        <v>-3</v>
      </c>
      <c r="F23" s="118">
        <f t="shared" si="3"/>
        <v>-3</v>
      </c>
      <c r="G23" s="116">
        <f t="shared" si="4"/>
        <v>0</v>
      </c>
      <c r="H23" s="814"/>
      <c r="I23" s="815"/>
      <c r="J23" s="814"/>
      <c r="K23" s="827"/>
      <c r="L23" s="97">
        <f t="shared" si="5"/>
        <v>0</v>
      </c>
      <c r="M23" s="97">
        <f t="shared" si="6"/>
        <v>0</v>
      </c>
      <c r="N23" s="97">
        <f t="shared" si="1"/>
        <v>0</v>
      </c>
      <c r="O23" s="97">
        <f t="shared" si="7"/>
        <v>0</v>
      </c>
      <c r="Q23" s="97">
        <f t="shared" si="8"/>
        <v>0</v>
      </c>
      <c r="W23" s="105"/>
      <c r="X23" s="105"/>
      <c r="Y23" s="105"/>
    </row>
    <row r="24" spans="1:26" ht="17.100000000000001" customHeight="1">
      <c r="A24" s="122"/>
      <c r="B24" s="115"/>
      <c r="C24" s="115"/>
      <c r="D24" s="116"/>
      <c r="E24" s="117">
        <f t="shared" si="2"/>
        <v>-3</v>
      </c>
      <c r="F24" s="118">
        <f t="shared" si="3"/>
        <v>-3</v>
      </c>
      <c r="G24" s="116">
        <f t="shared" si="4"/>
        <v>0</v>
      </c>
      <c r="H24" s="814"/>
      <c r="I24" s="815"/>
      <c r="J24" s="814"/>
      <c r="K24" s="827"/>
      <c r="L24" s="97">
        <f t="shared" si="5"/>
        <v>0</v>
      </c>
      <c r="M24" s="97">
        <f t="shared" si="6"/>
        <v>0</v>
      </c>
      <c r="N24" s="97">
        <f t="shared" si="1"/>
        <v>0</v>
      </c>
      <c r="O24" s="97">
        <f t="shared" si="7"/>
        <v>0</v>
      </c>
      <c r="Q24" s="97">
        <f t="shared" si="8"/>
        <v>0</v>
      </c>
    </row>
    <row r="25" spans="1:26" ht="17.100000000000001" customHeight="1">
      <c r="A25" s="122"/>
      <c r="B25" s="115"/>
      <c r="C25" s="115"/>
      <c r="D25" s="116"/>
      <c r="E25" s="117">
        <f t="shared" si="2"/>
        <v>-3</v>
      </c>
      <c r="F25" s="118">
        <f t="shared" si="3"/>
        <v>-3</v>
      </c>
      <c r="G25" s="116">
        <f t="shared" si="4"/>
        <v>0</v>
      </c>
      <c r="H25" s="814"/>
      <c r="I25" s="815"/>
      <c r="J25" s="814"/>
      <c r="K25" s="827"/>
      <c r="L25" s="97">
        <f t="shared" si="5"/>
        <v>0</v>
      </c>
      <c r="M25" s="97">
        <f t="shared" si="6"/>
        <v>0</v>
      </c>
      <c r="N25" s="97">
        <f t="shared" si="1"/>
        <v>0</v>
      </c>
      <c r="O25" s="97">
        <f t="shared" si="7"/>
        <v>0</v>
      </c>
      <c r="Q25" s="97">
        <f t="shared" si="8"/>
        <v>0</v>
      </c>
      <c r="X25" s="119"/>
      <c r="Y25" s="105"/>
    </row>
    <row r="26" spans="1:26" ht="17.100000000000001" customHeight="1">
      <c r="A26" s="123"/>
      <c r="B26" s="115"/>
      <c r="C26" s="115"/>
      <c r="D26" s="116"/>
      <c r="E26" s="117">
        <f t="shared" si="2"/>
        <v>-3</v>
      </c>
      <c r="F26" s="118">
        <f t="shared" si="3"/>
        <v>-3</v>
      </c>
      <c r="G26" s="116">
        <f t="shared" si="4"/>
        <v>0</v>
      </c>
      <c r="H26" s="814"/>
      <c r="I26" s="815"/>
      <c r="J26" s="814"/>
      <c r="K26" s="827"/>
      <c r="L26" s="97">
        <f t="shared" si="5"/>
        <v>0</v>
      </c>
      <c r="M26" s="97">
        <f t="shared" si="6"/>
        <v>0</v>
      </c>
      <c r="N26" s="97">
        <f t="shared" si="1"/>
        <v>0</v>
      </c>
      <c r="O26" s="97">
        <f t="shared" si="7"/>
        <v>0</v>
      </c>
      <c r="Q26" s="97">
        <f t="shared" si="8"/>
        <v>0</v>
      </c>
      <c r="Y26" s="105"/>
    </row>
    <row r="27" spans="1:26" ht="17.100000000000001" customHeight="1">
      <c r="A27" s="114"/>
      <c r="B27" s="115"/>
      <c r="C27" s="115"/>
      <c r="D27" s="116"/>
      <c r="E27" s="117">
        <f t="shared" si="2"/>
        <v>-3</v>
      </c>
      <c r="F27" s="118">
        <f t="shared" si="3"/>
        <v>-3</v>
      </c>
      <c r="G27" s="116">
        <f t="shared" si="4"/>
        <v>0</v>
      </c>
      <c r="H27" s="814"/>
      <c r="I27" s="815"/>
      <c r="J27" s="814"/>
      <c r="K27" s="827"/>
      <c r="L27" s="97">
        <f t="shared" si="5"/>
        <v>0</v>
      </c>
      <c r="M27" s="97">
        <f t="shared" si="6"/>
        <v>0</v>
      </c>
      <c r="N27" s="97">
        <f t="shared" si="1"/>
        <v>0</v>
      </c>
      <c r="O27" s="97">
        <f t="shared" si="7"/>
        <v>0</v>
      </c>
      <c r="Q27" s="97">
        <f t="shared" si="8"/>
        <v>0</v>
      </c>
      <c r="W27" s="105"/>
      <c r="X27" s="105"/>
      <c r="Y27" s="105"/>
    </row>
    <row r="28" spans="1:26" ht="17.100000000000001" customHeight="1">
      <c r="A28" s="124"/>
      <c r="B28" s="115"/>
      <c r="C28" s="115"/>
      <c r="D28" s="116"/>
      <c r="E28" s="117">
        <f t="shared" si="2"/>
        <v>-3</v>
      </c>
      <c r="F28" s="118">
        <f t="shared" si="3"/>
        <v>-3</v>
      </c>
      <c r="G28" s="116">
        <f t="shared" si="4"/>
        <v>0</v>
      </c>
      <c r="H28" s="814"/>
      <c r="I28" s="815"/>
      <c r="J28" s="814"/>
      <c r="K28" s="827"/>
      <c r="L28" s="97">
        <f t="shared" si="5"/>
        <v>0</v>
      </c>
      <c r="M28" s="97">
        <f t="shared" si="6"/>
        <v>0</v>
      </c>
      <c r="N28" s="97">
        <f t="shared" si="1"/>
        <v>0</v>
      </c>
      <c r="O28" s="97">
        <f t="shared" si="7"/>
        <v>0</v>
      </c>
      <c r="Q28" s="97">
        <f t="shared" si="8"/>
        <v>0</v>
      </c>
      <c r="U28" s="97" t="s">
        <v>553</v>
      </c>
      <c r="V28" s="97" t="str">
        <f>W28&amp;"+"&amp;Y28</f>
        <v>M43奶油灰高+铝色PVC2.0*22</v>
      </c>
      <c r="W28" s="105" t="str">
        <f>U28&amp;MIDB(X28,1,8)</f>
        <v>M43奶油灰高</v>
      </c>
      <c r="X28" s="97" t="s">
        <v>554</v>
      </c>
      <c r="Y28" s="97" t="s">
        <v>555</v>
      </c>
    </row>
    <row r="29" spans="1:26" ht="17.100000000000001" customHeight="1">
      <c r="A29" s="123"/>
      <c r="B29" s="115"/>
      <c r="C29" s="115"/>
      <c r="D29" s="116"/>
      <c r="E29" s="117">
        <f t="shared" si="2"/>
        <v>-3</v>
      </c>
      <c r="F29" s="118">
        <f t="shared" si="3"/>
        <v>-3</v>
      </c>
      <c r="G29" s="116">
        <f t="shared" si="4"/>
        <v>0</v>
      </c>
      <c r="H29" s="814"/>
      <c r="I29" s="815"/>
      <c r="J29" s="814"/>
      <c r="K29" s="827"/>
      <c r="L29" s="97">
        <f t="shared" si="5"/>
        <v>0</v>
      </c>
      <c r="M29" s="97">
        <f t="shared" si="6"/>
        <v>0</v>
      </c>
      <c r="N29" s="97">
        <f t="shared" si="1"/>
        <v>0</v>
      </c>
      <c r="O29" s="97">
        <f t="shared" si="7"/>
        <v>0</v>
      </c>
      <c r="Q29" s="97">
        <f t="shared" si="8"/>
        <v>0</v>
      </c>
      <c r="U29" s="97" t="s">
        <v>556</v>
      </c>
      <c r="V29" s="97" t="str">
        <f t="shared" ref="V29:V33" si="9">W29&amp;"+"&amp;Y29</f>
        <v>M38酒红高光+铝色PVC2.0*22</v>
      </c>
      <c r="W29" s="105" t="str">
        <f t="shared" ref="W29:W33" si="10">U29&amp;MIDB(X29,1,8)</f>
        <v>M38酒红高光</v>
      </c>
      <c r="X29" s="105" t="s">
        <v>557</v>
      </c>
      <c r="Y29" s="97" t="s">
        <v>555</v>
      </c>
    </row>
    <row r="30" spans="1:26" ht="17.100000000000001" customHeight="1">
      <c r="A30" s="123"/>
      <c r="B30" s="115"/>
      <c r="C30" s="115"/>
      <c r="D30" s="116"/>
      <c r="E30" s="117">
        <f t="shared" si="2"/>
        <v>-3</v>
      </c>
      <c r="F30" s="118">
        <f t="shared" si="3"/>
        <v>-3</v>
      </c>
      <c r="G30" s="116">
        <f t="shared" si="4"/>
        <v>0</v>
      </c>
      <c r="H30" s="814"/>
      <c r="I30" s="815"/>
      <c r="J30" s="814"/>
      <c r="K30" s="827"/>
      <c r="L30" s="97">
        <f t="shared" si="5"/>
        <v>0</v>
      </c>
      <c r="M30" s="97">
        <f t="shared" si="6"/>
        <v>0</v>
      </c>
      <c r="N30" s="97">
        <f t="shared" si="1"/>
        <v>0</v>
      </c>
      <c r="O30" s="97">
        <f t="shared" si="7"/>
        <v>0</v>
      </c>
      <c r="Q30" s="97">
        <f t="shared" si="8"/>
        <v>0</v>
      </c>
      <c r="U30" s="97" t="s">
        <v>558</v>
      </c>
      <c r="V30" s="97" t="str">
        <f t="shared" si="9"/>
        <v>M39黑檀高光+铝色PVC2.0*22</v>
      </c>
      <c r="W30" s="105" t="str">
        <f t="shared" si="10"/>
        <v>M39黑檀高光</v>
      </c>
      <c r="X30" s="105" t="s">
        <v>559</v>
      </c>
      <c r="Y30" s="97" t="s">
        <v>555</v>
      </c>
    </row>
    <row r="31" spans="1:26" ht="17.100000000000001" customHeight="1">
      <c r="A31" s="123"/>
      <c r="B31" s="115"/>
      <c r="C31" s="115"/>
      <c r="D31" s="116"/>
      <c r="E31" s="117">
        <f t="shared" si="2"/>
        <v>-3</v>
      </c>
      <c r="F31" s="118">
        <f t="shared" si="3"/>
        <v>-3</v>
      </c>
      <c r="G31" s="116">
        <f t="shared" si="4"/>
        <v>0</v>
      </c>
      <c r="H31" s="814"/>
      <c r="I31" s="815"/>
      <c r="J31" s="814"/>
      <c r="K31" s="827"/>
      <c r="L31" s="97">
        <f t="shared" si="5"/>
        <v>0</v>
      </c>
      <c r="M31" s="97">
        <f t="shared" si="6"/>
        <v>0</v>
      </c>
      <c r="N31" s="97">
        <f t="shared" si="1"/>
        <v>0</v>
      </c>
      <c r="O31" s="97">
        <f t="shared" si="7"/>
        <v>0</v>
      </c>
      <c r="Q31" s="97">
        <f t="shared" si="8"/>
        <v>0</v>
      </c>
      <c r="U31" s="97" t="s">
        <v>560</v>
      </c>
      <c r="V31" s="97" t="str">
        <f t="shared" si="9"/>
        <v>M40香槟高光+铝色PVC2.0*22</v>
      </c>
      <c r="W31" s="105" t="str">
        <f t="shared" si="10"/>
        <v>M40香槟高光</v>
      </c>
      <c r="X31" s="105" t="s">
        <v>561</v>
      </c>
      <c r="Y31" s="97" t="s">
        <v>555</v>
      </c>
    </row>
    <row r="32" spans="1:26" ht="17.100000000000001" customHeight="1">
      <c r="A32" s="123"/>
      <c r="B32" s="115"/>
      <c r="C32" s="115"/>
      <c r="D32" s="116"/>
      <c r="E32" s="117">
        <f t="shared" si="2"/>
        <v>-3</v>
      </c>
      <c r="F32" s="118">
        <f t="shared" si="3"/>
        <v>-3</v>
      </c>
      <c r="G32" s="116">
        <f t="shared" si="4"/>
        <v>0</v>
      </c>
      <c r="H32" s="814"/>
      <c r="I32" s="815"/>
      <c r="J32" s="814"/>
      <c r="K32" s="827"/>
      <c r="L32" s="97">
        <f t="shared" si="5"/>
        <v>0</v>
      </c>
      <c r="M32" s="97">
        <f t="shared" si="6"/>
        <v>0</v>
      </c>
      <c r="N32" s="97">
        <f t="shared" si="1"/>
        <v>0</v>
      </c>
      <c r="O32" s="97">
        <f t="shared" si="7"/>
        <v>0</v>
      </c>
      <c r="Q32" s="97">
        <f t="shared" si="8"/>
        <v>0</v>
      </c>
      <c r="U32" s="97" t="s">
        <v>562</v>
      </c>
      <c r="V32" s="97" t="str">
        <f t="shared" si="9"/>
        <v>M41湛蓝高光+铝色PVC2.0*22</v>
      </c>
      <c r="W32" s="105" t="str">
        <f t="shared" si="10"/>
        <v>M41湛蓝高光</v>
      </c>
      <c r="X32" s="105" t="s">
        <v>563</v>
      </c>
      <c r="Y32" s="97" t="s">
        <v>555</v>
      </c>
    </row>
    <row r="33" spans="1:25" ht="17.100000000000001" customHeight="1">
      <c r="A33" s="123"/>
      <c r="B33" s="115"/>
      <c r="C33" s="115"/>
      <c r="D33" s="116"/>
      <c r="E33" s="117">
        <f t="shared" si="2"/>
        <v>-3</v>
      </c>
      <c r="F33" s="118">
        <f t="shared" si="3"/>
        <v>-3</v>
      </c>
      <c r="G33" s="116">
        <f t="shared" si="4"/>
        <v>0</v>
      </c>
      <c r="H33" s="814"/>
      <c r="I33" s="815"/>
      <c r="J33" s="814"/>
      <c r="K33" s="827"/>
      <c r="L33" s="97">
        <f t="shared" si="5"/>
        <v>0</v>
      </c>
      <c r="M33" s="97">
        <f t="shared" si="6"/>
        <v>0</v>
      </c>
      <c r="N33" s="97">
        <f t="shared" si="1"/>
        <v>0</v>
      </c>
      <c r="O33" s="97">
        <f t="shared" si="7"/>
        <v>0</v>
      </c>
      <c r="Q33" s="97">
        <f t="shared" si="8"/>
        <v>0</v>
      </c>
      <c r="U33" s="97" t="s">
        <v>564</v>
      </c>
      <c r="V33" s="97" t="str">
        <f t="shared" si="9"/>
        <v>M42纯白高光+铝色PVC2.0*22</v>
      </c>
      <c r="W33" s="105" t="str">
        <f t="shared" si="10"/>
        <v>M42纯白高光</v>
      </c>
      <c r="X33" s="105" t="s">
        <v>565</v>
      </c>
      <c r="Y33" s="97" t="s">
        <v>555</v>
      </c>
    </row>
    <row r="34" spans="1:25" ht="17.100000000000001" customHeight="1">
      <c r="A34" s="123"/>
      <c r="B34" s="115"/>
      <c r="C34" s="115"/>
      <c r="D34" s="116"/>
      <c r="E34" s="117">
        <f t="shared" si="2"/>
        <v>-3</v>
      </c>
      <c r="F34" s="118">
        <f t="shared" si="3"/>
        <v>-3</v>
      </c>
      <c r="G34" s="116">
        <f t="shared" si="4"/>
        <v>0</v>
      </c>
      <c r="H34" s="814"/>
      <c r="I34" s="815"/>
      <c r="J34" s="814"/>
      <c r="K34" s="827"/>
      <c r="L34" s="97">
        <f t="shared" si="5"/>
        <v>0</v>
      </c>
      <c r="M34" s="97">
        <f t="shared" si="6"/>
        <v>0</v>
      </c>
      <c r="N34" s="97">
        <f t="shared" si="1"/>
        <v>0</v>
      </c>
      <c r="O34" s="97">
        <f t="shared" si="7"/>
        <v>0</v>
      </c>
      <c r="Q34" s="97">
        <f t="shared" si="8"/>
        <v>0</v>
      </c>
    </row>
    <row r="35" spans="1:25" ht="17.100000000000001" customHeight="1">
      <c r="A35" s="123"/>
      <c r="B35" s="115"/>
      <c r="C35" s="115"/>
      <c r="D35" s="116"/>
      <c r="E35" s="117">
        <f t="shared" si="2"/>
        <v>-3</v>
      </c>
      <c r="F35" s="118">
        <f t="shared" si="3"/>
        <v>-3</v>
      </c>
      <c r="G35" s="116">
        <f t="shared" si="4"/>
        <v>0</v>
      </c>
      <c r="H35" s="814"/>
      <c r="I35" s="815"/>
      <c r="J35" s="814"/>
      <c r="K35" s="827"/>
      <c r="L35" s="97">
        <f t="shared" si="5"/>
        <v>0</v>
      </c>
      <c r="M35" s="97">
        <f t="shared" si="6"/>
        <v>0</v>
      </c>
      <c r="N35" s="97">
        <f t="shared" si="1"/>
        <v>0</v>
      </c>
      <c r="O35" s="97">
        <f t="shared" si="7"/>
        <v>0</v>
      </c>
      <c r="Q35" s="97">
        <f t="shared" si="8"/>
        <v>0</v>
      </c>
      <c r="V35" s="97" t="str">
        <f>W35&amp;"+"&amp;Y35</f>
        <v>M21银灰波浪(横纹）+2.0*22银灰波浪PVC</v>
      </c>
      <c r="W35" s="105" t="s">
        <v>566</v>
      </c>
      <c r="X35" s="105" t="s">
        <v>567</v>
      </c>
      <c r="Y35" s="105" t="s">
        <v>568</v>
      </c>
    </row>
    <row r="36" spans="1:25" ht="17.100000000000001" customHeight="1">
      <c r="A36" s="125"/>
      <c r="B36" s="126"/>
      <c r="C36" s="126"/>
      <c r="D36" s="127"/>
      <c r="E36" s="117">
        <f t="shared" si="2"/>
        <v>-3</v>
      </c>
      <c r="F36" s="118">
        <f t="shared" si="3"/>
        <v>-3</v>
      </c>
      <c r="G36" s="116">
        <f t="shared" si="4"/>
        <v>0</v>
      </c>
      <c r="H36" s="814"/>
      <c r="I36" s="815"/>
      <c r="J36" s="814"/>
      <c r="K36" s="827"/>
      <c r="L36" s="97">
        <f t="shared" si="5"/>
        <v>0</v>
      </c>
      <c r="M36" s="97">
        <f t="shared" si="6"/>
        <v>0</v>
      </c>
      <c r="N36" s="97">
        <f t="shared" si="1"/>
        <v>0</v>
      </c>
      <c r="O36" s="97">
        <f t="shared" si="7"/>
        <v>0</v>
      </c>
      <c r="Q36" s="97">
        <f t="shared" si="8"/>
        <v>0</v>
      </c>
      <c r="V36" s="97" t="str">
        <f>W36&amp;"+"&amp;Y36</f>
        <v>M21银灰波浪(横纹）+T型铝封边</v>
      </c>
      <c r="W36" s="105" t="s">
        <v>566</v>
      </c>
      <c r="X36" s="105" t="s">
        <v>567</v>
      </c>
      <c r="Y36" s="105" t="s">
        <v>58</v>
      </c>
    </row>
    <row r="37" spans="1:25" ht="17.100000000000001" customHeight="1" thickBot="1">
      <c r="A37" s="128"/>
      <c r="B37" s="129"/>
      <c r="C37" s="129"/>
      <c r="D37" s="130"/>
      <c r="E37" s="117"/>
      <c r="F37" s="118"/>
      <c r="G37" s="116"/>
      <c r="H37" s="829"/>
      <c r="I37" s="830"/>
      <c r="J37" s="829"/>
      <c r="K37" s="831"/>
      <c r="L37" s="97">
        <f t="shared" si="5"/>
        <v>0</v>
      </c>
      <c r="M37" s="97">
        <f t="shared" si="6"/>
        <v>0</v>
      </c>
      <c r="N37" s="97">
        <f t="shared" si="1"/>
        <v>0</v>
      </c>
      <c r="O37" s="97">
        <f t="shared" si="7"/>
        <v>0</v>
      </c>
      <c r="V37" s="97" t="str">
        <f>W37&amp;"+"&amp;Y37</f>
        <v>M24荷花白波浪(横纹）+T型铝封边</v>
      </c>
      <c r="W37" s="105" t="s">
        <v>569</v>
      </c>
      <c r="X37" s="105" t="s">
        <v>570</v>
      </c>
      <c r="Y37" s="105" t="s">
        <v>58</v>
      </c>
    </row>
    <row r="38" spans="1:25" ht="17.100000000000001" customHeight="1">
      <c r="A38" s="832"/>
      <c r="B38" s="832"/>
      <c r="C38" s="832"/>
      <c r="D38" s="832"/>
      <c r="E38" s="832"/>
      <c r="F38" s="832"/>
      <c r="G38" s="832"/>
      <c r="H38" s="832"/>
      <c r="I38" s="832"/>
      <c r="J38" s="832"/>
      <c r="K38" s="832"/>
      <c r="L38" s="97">
        <f>SUM(L10:L37)</f>
        <v>0</v>
      </c>
      <c r="M38" s="97">
        <f>SUM(M10:M37)</f>
        <v>0</v>
      </c>
      <c r="N38" s="97">
        <f>SUM(N10:N37)</f>
        <v>0</v>
      </c>
      <c r="O38" s="97">
        <f>SUM(O10:O37)</f>
        <v>0</v>
      </c>
      <c r="P38" s="97" t="s">
        <v>571</v>
      </c>
      <c r="Q38" s="97">
        <f>SUM(Q10:Q37)</f>
        <v>0</v>
      </c>
      <c r="V38" s="97" t="str">
        <f>W38&amp;"+"&amp;Y38</f>
        <v>M25银灰+2.0*22银灰PVC</v>
      </c>
      <c r="W38" s="97" t="s">
        <v>572</v>
      </c>
      <c r="X38" s="97" t="s">
        <v>573</v>
      </c>
      <c r="Y38" s="105" t="s">
        <v>574</v>
      </c>
    </row>
    <row r="39" spans="1:25" s="133" customFormat="1" ht="20.100000000000001" customHeight="1">
      <c r="A39" s="131"/>
      <c r="B39" s="811" t="s">
        <v>508</v>
      </c>
      <c r="C39" s="811"/>
      <c r="D39" s="811"/>
      <c r="E39" s="811"/>
      <c r="F39" s="811"/>
      <c r="G39" s="811"/>
      <c r="H39" s="811"/>
      <c r="I39" s="811"/>
      <c r="J39" s="510"/>
      <c r="K39" s="132"/>
      <c r="V39" s="105" t="s">
        <v>575</v>
      </c>
      <c r="W39" s="97" t="s">
        <v>576</v>
      </c>
      <c r="X39" s="97" t="s">
        <v>577</v>
      </c>
      <c r="Y39" s="105" t="s">
        <v>58</v>
      </c>
    </row>
    <row r="40" spans="1:25" ht="21" customHeight="1">
      <c r="A40" s="832" t="s">
        <v>578</v>
      </c>
      <c r="B40" s="832"/>
      <c r="C40" s="832"/>
      <c r="D40" s="832"/>
      <c r="E40" s="832"/>
      <c r="F40" s="832"/>
      <c r="G40" s="832"/>
      <c r="H40" s="832"/>
      <c r="I40" s="832"/>
      <c r="J40" s="832"/>
      <c r="K40" s="832"/>
    </row>
    <row r="41" spans="1:25" ht="13.5" customHeight="1">
      <c r="A41" s="134"/>
      <c r="B41" s="135"/>
      <c r="C41" s="133"/>
      <c r="D41" s="133"/>
      <c r="E41" s="136"/>
      <c r="F41" s="137"/>
      <c r="G41" s="138"/>
      <c r="H41" s="511"/>
      <c r="I41" s="132"/>
      <c r="J41" s="132"/>
      <c r="K41" s="139"/>
    </row>
    <row r="42" spans="1:25" ht="18" customHeight="1">
      <c r="A42" s="131" t="s">
        <v>579</v>
      </c>
      <c r="B42" s="833"/>
      <c r="C42" s="833"/>
      <c r="D42" s="510"/>
      <c r="E42" s="140"/>
      <c r="F42" s="834"/>
      <c r="G42" s="834"/>
      <c r="H42" s="510"/>
      <c r="I42" s="132"/>
      <c r="J42" s="132"/>
      <c r="O42" s="141">
        <v>1</v>
      </c>
      <c r="P42" s="142" t="s">
        <v>580</v>
      </c>
      <c r="Q42" s="97">
        <f>+Q38/0.85</f>
        <v>0</v>
      </c>
    </row>
    <row r="43" spans="1:25" ht="21">
      <c r="A43" s="143"/>
      <c r="B43" s="828"/>
      <c r="C43" s="828"/>
      <c r="D43" s="144"/>
      <c r="E43" s="145"/>
      <c r="F43" s="146"/>
      <c r="G43" s="147"/>
      <c r="H43" s="144"/>
      <c r="I43" s="148"/>
      <c r="J43" s="148"/>
      <c r="K43" s="139"/>
      <c r="O43" s="141">
        <v>2</v>
      </c>
      <c r="P43" s="142" t="s">
        <v>581</v>
      </c>
      <c r="Q43" s="149">
        <f>+CEILING(Q38/0.6,0.5)</f>
        <v>0</v>
      </c>
    </row>
    <row r="44" spans="1:25" ht="20.25">
      <c r="A44" s="139"/>
      <c r="B44" s="139"/>
      <c r="C44" s="139"/>
      <c r="D44" s="139"/>
      <c r="E44" s="150"/>
      <c r="F44" s="151"/>
      <c r="G44" s="151"/>
      <c r="H44" s="139"/>
      <c r="I44" s="139"/>
      <c r="J44" s="139"/>
      <c r="K44" s="139"/>
      <c r="O44" s="141">
        <v>3</v>
      </c>
      <c r="P44" s="142" t="s">
        <v>582</v>
      </c>
      <c r="Q44" s="152">
        <f>+Q43</f>
        <v>0</v>
      </c>
    </row>
    <row r="45" spans="1:25" ht="20.25">
      <c r="A45" s="139"/>
      <c r="B45" s="139"/>
      <c r="C45" s="139"/>
      <c r="D45" s="139"/>
      <c r="E45" s="150"/>
      <c r="F45" s="151"/>
      <c r="G45" s="151"/>
      <c r="H45" s="139"/>
      <c r="I45" s="139"/>
      <c r="J45" s="139"/>
      <c r="K45" s="139"/>
    </row>
    <row r="46" spans="1:25" ht="20.25">
      <c r="A46" s="139"/>
      <c r="B46" s="139"/>
      <c r="C46" s="139"/>
      <c r="D46" s="139"/>
      <c r="E46" s="150"/>
      <c r="F46" s="151"/>
      <c r="G46" s="151"/>
      <c r="H46" s="139"/>
      <c r="I46" s="139"/>
      <c r="J46" s="139"/>
      <c r="K46" s="139"/>
    </row>
    <row r="47" spans="1:25" ht="20.25">
      <c r="A47" s="139"/>
      <c r="B47" s="139"/>
      <c r="C47" s="139"/>
      <c r="D47" s="139"/>
      <c r="E47" s="150"/>
      <c r="F47" s="151"/>
      <c r="G47" s="151"/>
      <c r="H47" s="139"/>
      <c r="I47" s="139"/>
      <c r="J47" s="139"/>
      <c r="K47" s="139"/>
    </row>
    <row r="48" spans="1:25" ht="20.25">
      <c r="A48" s="139"/>
      <c r="B48" s="139"/>
      <c r="C48" s="139"/>
      <c r="D48" s="139"/>
      <c r="E48" s="150"/>
      <c r="F48" s="151"/>
      <c r="G48" s="151"/>
      <c r="H48" s="139"/>
      <c r="I48" s="139"/>
      <c r="J48" s="139"/>
      <c r="K48" s="139"/>
    </row>
    <row r="49" spans="1:11" ht="20.25">
      <c r="A49" s="139"/>
      <c r="B49" s="139"/>
      <c r="C49" s="139"/>
      <c r="D49" s="139"/>
      <c r="E49" s="150"/>
      <c r="F49" s="151"/>
      <c r="G49" s="151"/>
      <c r="H49" s="139"/>
      <c r="I49" s="139"/>
      <c r="J49" s="139"/>
      <c r="K49" s="139"/>
    </row>
    <row r="50" spans="1:11" ht="20.25">
      <c r="A50" s="139"/>
      <c r="B50" s="139"/>
      <c r="C50" s="139"/>
      <c r="D50" s="139"/>
      <c r="E50" s="150"/>
      <c r="F50" s="151"/>
      <c r="G50" s="151"/>
      <c r="H50" s="139"/>
      <c r="I50" s="139"/>
      <c r="J50" s="139"/>
      <c r="K50" s="139"/>
    </row>
    <row r="51" spans="1:11" ht="20.25">
      <c r="A51" s="139"/>
      <c r="B51" s="139"/>
      <c r="C51" s="139"/>
      <c r="D51" s="139"/>
      <c r="E51" s="150"/>
      <c r="F51" s="151"/>
      <c r="G51" s="151"/>
      <c r="H51" s="139"/>
      <c r="I51" s="139"/>
      <c r="J51" s="139"/>
      <c r="K51" s="139"/>
    </row>
    <row r="52" spans="1:11" ht="20.25">
      <c r="A52" s="139"/>
      <c r="B52" s="139"/>
      <c r="C52" s="139"/>
      <c r="D52" s="139"/>
      <c r="E52" s="150"/>
      <c r="F52" s="151"/>
      <c r="G52" s="151"/>
      <c r="H52" s="139"/>
      <c r="I52" s="139"/>
      <c r="J52" s="139"/>
      <c r="K52" s="139"/>
    </row>
    <row r="53" spans="1:11" ht="20.25">
      <c r="A53" s="139"/>
      <c r="B53" s="139"/>
      <c r="C53" s="139"/>
      <c r="D53" s="139"/>
      <c r="E53" s="150"/>
      <c r="F53" s="151"/>
      <c r="G53" s="151"/>
      <c r="H53" s="139"/>
      <c r="I53" s="139"/>
      <c r="J53" s="139"/>
      <c r="K53" s="139"/>
    </row>
    <row r="54" spans="1:11" ht="20.25">
      <c r="A54" s="139"/>
      <c r="B54" s="139"/>
      <c r="C54" s="139"/>
      <c r="D54" s="139"/>
      <c r="E54" s="150"/>
      <c r="F54" s="151"/>
      <c r="G54" s="151"/>
      <c r="H54" s="139"/>
      <c r="I54" s="139"/>
      <c r="J54" s="139"/>
      <c r="K54" s="139"/>
    </row>
    <row r="55" spans="1:11" ht="20.25">
      <c r="A55" s="139"/>
      <c r="B55" s="139"/>
      <c r="C55" s="139"/>
      <c r="D55" s="139"/>
      <c r="E55" s="150"/>
      <c r="F55" s="151"/>
      <c r="G55" s="151"/>
      <c r="H55" s="139"/>
      <c r="I55" s="139"/>
      <c r="J55" s="139"/>
      <c r="K55" s="139"/>
    </row>
    <row r="56" spans="1:11" ht="20.25">
      <c r="A56" s="139"/>
      <c r="B56" s="139"/>
      <c r="C56" s="139"/>
      <c r="D56" s="139"/>
      <c r="E56" s="150"/>
      <c r="F56" s="151"/>
      <c r="G56" s="151"/>
      <c r="H56" s="139"/>
      <c r="I56" s="139"/>
      <c r="J56" s="139"/>
      <c r="K56" s="139"/>
    </row>
    <row r="57" spans="1:11" ht="20.25">
      <c r="A57" s="139"/>
      <c r="B57" s="139"/>
      <c r="C57" s="139"/>
      <c r="D57" s="139"/>
      <c r="E57" s="150"/>
      <c r="F57" s="151"/>
      <c r="G57" s="151"/>
      <c r="H57" s="139"/>
      <c r="I57" s="139"/>
      <c r="J57" s="139"/>
      <c r="K57" s="139"/>
    </row>
    <row r="58" spans="1:11" ht="20.25">
      <c r="A58" s="139"/>
      <c r="B58" s="139"/>
      <c r="C58" s="139"/>
      <c r="D58" s="139"/>
      <c r="E58" s="150"/>
      <c r="F58" s="151"/>
      <c r="G58" s="151"/>
      <c r="H58" s="139"/>
      <c r="I58" s="139"/>
      <c r="J58" s="139"/>
      <c r="K58" s="139"/>
    </row>
    <row r="59" spans="1:11" ht="20.25">
      <c r="A59" s="139"/>
      <c r="B59" s="139"/>
      <c r="C59" s="139"/>
      <c r="D59" s="139"/>
      <c r="E59" s="150"/>
      <c r="F59" s="151"/>
      <c r="G59" s="151"/>
      <c r="H59" s="139"/>
      <c r="I59" s="139"/>
      <c r="J59" s="139"/>
      <c r="K59" s="139"/>
    </row>
    <row r="60" spans="1:11" ht="20.25">
      <c r="A60" s="139"/>
      <c r="B60" s="139"/>
      <c r="C60" s="139"/>
      <c r="D60" s="139"/>
      <c r="E60" s="150"/>
      <c r="F60" s="151"/>
      <c r="G60" s="151"/>
      <c r="H60" s="139"/>
      <c r="I60" s="139"/>
      <c r="J60" s="139"/>
      <c r="K60" s="139"/>
    </row>
    <row r="61" spans="1:11" ht="20.25">
      <c r="A61" s="139"/>
      <c r="B61" s="139"/>
      <c r="C61" s="139"/>
      <c r="D61" s="139"/>
      <c r="E61" s="150"/>
      <c r="F61" s="151"/>
      <c r="G61" s="151"/>
      <c r="H61" s="139"/>
      <c r="I61" s="139"/>
      <c r="J61" s="139"/>
      <c r="K61" s="139"/>
    </row>
    <row r="62" spans="1:11" ht="20.25">
      <c r="A62" s="139"/>
      <c r="B62" s="139"/>
      <c r="C62" s="139"/>
      <c r="D62" s="139"/>
      <c r="E62" s="150"/>
      <c r="F62" s="151"/>
      <c r="G62" s="151"/>
      <c r="H62" s="139"/>
      <c r="I62" s="139"/>
      <c r="J62" s="139"/>
      <c r="K62" s="139"/>
    </row>
    <row r="63" spans="1:11" ht="20.25">
      <c r="A63" s="139"/>
      <c r="B63" s="139"/>
      <c r="C63" s="139"/>
      <c r="D63" s="139"/>
      <c r="E63" s="150"/>
      <c r="F63" s="151"/>
      <c r="G63" s="151"/>
      <c r="H63" s="139"/>
      <c r="I63" s="139"/>
      <c r="J63" s="139"/>
      <c r="K63" s="139"/>
    </row>
    <row r="64" spans="1:11" ht="20.25">
      <c r="A64" s="139"/>
      <c r="B64" s="139"/>
      <c r="C64" s="139"/>
      <c r="D64" s="139"/>
      <c r="E64" s="150"/>
      <c r="F64" s="151"/>
      <c r="G64" s="151"/>
      <c r="H64" s="139"/>
      <c r="I64" s="139"/>
      <c r="J64" s="139"/>
      <c r="K64" s="139"/>
    </row>
    <row r="65" spans="1:11" ht="20.25">
      <c r="A65" s="139"/>
      <c r="B65" s="139"/>
      <c r="C65" s="139"/>
      <c r="D65" s="139"/>
      <c r="E65" s="150"/>
      <c r="F65" s="151"/>
      <c r="G65" s="151"/>
      <c r="H65" s="139"/>
      <c r="I65" s="139"/>
      <c r="J65" s="139"/>
      <c r="K65" s="139"/>
    </row>
    <row r="66" spans="1:11" ht="20.25">
      <c r="A66" s="139"/>
      <c r="B66" s="139"/>
      <c r="C66" s="139"/>
      <c r="D66" s="139"/>
      <c r="E66" s="150"/>
      <c r="F66" s="151"/>
      <c r="G66" s="151"/>
      <c r="H66" s="139"/>
      <c r="I66" s="139"/>
      <c r="J66" s="139"/>
      <c r="K66" s="139"/>
    </row>
    <row r="67" spans="1:11" ht="20.25">
      <c r="A67" s="139"/>
      <c r="B67" s="139"/>
      <c r="C67" s="139"/>
      <c r="D67" s="139"/>
      <c r="E67" s="150"/>
      <c r="F67" s="151"/>
      <c r="G67" s="151"/>
      <c r="H67" s="139"/>
      <c r="I67" s="139"/>
      <c r="J67" s="139"/>
      <c r="K67" s="139"/>
    </row>
    <row r="68" spans="1:11" ht="20.25">
      <c r="A68" s="139"/>
      <c r="B68" s="139"/>
      <c r="C68" s="139"/>
      <c r="D68" s="139"/>
      <c r="E68" s="150"/>
      <c r="F68" s="151"/>
      <c r="G68" s="151"/>
      <c r="H68" s="139"/>
      <c r="I68" s="139"/>
      <c r="J68" s="139"/>
      <c r="K68" s="139"/>
    </row>
    <row r="69" spans="1:11" ht="20.25">
      <c r="A69" s="139"/>
      <c r="B69" s="139"/>
      <c r="C69" s="139"/>
      <c r="D69" s="139"/>
      <c r="E69" s="150"/>
      <c r="F69" s="151"/>
      <c r="G69" s="151"/>
      <c r="H69" s="139"/>
      <c r="I69" s="139"/>
      <c r="J69" s="139"/>
      <c r="K69" s="139"/>
    </row>
    <row r="70" spans="1:11" ht="20.25">
      <c r="A70" s="139"/>
      <c r="B70" s="139"/>
      <c r="C70" s="139"/>
      <c r="D70" s="139"/>
      <c r="E70" s="150"/>
      <c r="F70" s="151"/>
      <c r="G70" s="151"/>
      <c r="H70" s="139"/>
      <c r="I70" s="139"/>
      <c r="J70" s="139"/>
      <c r="K70" s="139"/>
    </row>
    <row r="71" spans="1:11" ht="20.25">
      <c r="A71" s="139"/>
      <c r="B71" s="139"/>
      <c r="C71" s="139"/>
      <c r="D71" s="139"/>
      <c r="E71" s="150"/>
      <c r="F71" s="151"/>
      <c r="G71" s="151"/>
      <c r="H71" s="139"/>
      <c r="I71" s="139"/>
      <c r="J71" s="139"/>
      <c r="K71" s="139"/>
    </row>
    <row r="72" spans="1:11" ht="20.25">
      <c r="A72" s="139"/>
      <c r="B72" s="139"/>
      <c r="C72" s="139"/>
      <c r="D72" s="139"/>
      <c r="E72" s="150"/>
      <c r="F72" s="151"/>
      <c r="G72" s="151"/>
      <c r="H72" s="139"/>
      <c r="I72" s="139"/>
      <c r="J72" s="139"/>
      <c r="K72" s="139"/>
    </row>
    <row r="73" spans="1:11" ht="20.25">
      <c r="A73" s="139"/>
      <c r="B73" s="139"/>
      <c r="C73" s="139"/>
      <c r="D73" s="139"/>
      <c r="E73" s="150"/>
      <c r="F73" s="151"/>
      <c r="G73" s="151"/>
      <c r="H73" s="139"/>
      <c r="I73" s="139"/>
      <c r="J73" s="139"/>
      <c r="K73" s="139"/>
    </row>
    <row r="74" spans="1:11" ht="20.25">
      <c r="A74" s="139"/>
      <c r="B74" s="139"/>
      <c r="C74" s="139"/>
      <c r="D74" s="139"/>
      <c r="E74" s="150"/>
      <c r="F74" s="151"/>
      <c r="G74" s="151"/>
      <c r="H74" s="139"/>
      <c r="I74" s="139"/>
      <c r="J74" s="139"/>
      <c r="K74" s="139"/>
    </row>
    <row r="75" spans="1:11" ht="20.25">
      <c r="A75" s="139"/>
      <c r="B75" s="139"/>
      <c r="C75" s="139"/>
      <c r="D75" s="139"/>
      <c r="E75" s="150"/>
      <c r="F75" s="151"/>
      <c r="G75" s="151"/>
      <c r="H75" s="139"/>
      <c r="I75" s="139"/>
      <c r="J75" s="139"/>
      <c r="K75" s="139"/>
    </row>
    <row r="76" spans="1:11" ht="20.25">
      <c r="A76" s="139"/>
      <c r="B76" s="139"/>
      <c r="C76" s="139"/>
      <c r="D76" s="139"/>
      <c r="E76" s="150"/>
      <c r="F76" s="151"/>
      <c r="G76" s="151"/>
      <c r="H76" s="139"/>
      <c r="I76" s="139"/>
      <c r="J76" s="139"/>
      <c r="K76" s="139"/>
    </row>
    <row r="77" spans="1:11" ht="20.25">
      <c r="A77" s="139"/>
      <c r="B77" s="139"/>
      <c r="C77" s="139"/>
      <c r="D77" s="139"/>
      <c r="E77" s="150"/>
      <c r="F77" s="151"/>
      <c r="G77" s="151"/>
      <c r="H77" s="139"/>
      <c r="I77" s="139"/>
      <c r="J77" s="139"/>
      <c r="K77" s="139"/>
    </row>
    <row r="78" spans="1:11" ht="20.25">
      <c r="A78" s="139"/>
      <c r="B78" s="139"/>
      <c r="C78" s="139"/>
      <c r="D78" s="139"/>
      <c r="E78" s="150"/>
      <c r="F78" s="151"/>
      <c r="G78" s="151"/>
      <c r="H78" s="139"/>
      <c r="I78" s="139"/>
      <c r="J78" s="139"/>
      <c r="K78" s="139"/>
    </row>
    <row r="79" spans="1:11" ht="20.25">
      <c r="A79" s="139"/>
      <c r="B79" s="139"/>
      <c r="C79" s="139"/>
      <c r="D79" s="139"/>
      <c r="E79" s="150"/>
      <c r="F79" s="151"/>
      <c r="G79" s="151"/>
      <c r="H79" s="139"/>
      <c r="I79" s="139"/>
      <c r="J79" s="139"/>
      <c r="K79" s="139"/>
    </row>
    <row r="80" spans="1:11" ht="20.25">
      <c r="A80" s="139"/>
      <c r="B80" s="139"/>
      <c r="C80" s="139"/>
      <c r="D80" s="139"/>
      <c r="E80" s="150"/>
      <c r="F80" s="151"/>
      <c r="G80" s="151"/>
      <c r="H80" s="139"/>
      <c r="I80" s="139"/>
      <c r="J80" s="139"/>
      <c r="K80" s="139"/>
    </row>
    <row r="81" spans="1:11" ht="20.25">
      <c r="A81" s="139"/>
      <c r="B81" s="139"/>
      <c r="C81" s="139"/>
      <c r="D81" s="139"/>
      <c r="E81" s="150"/>
      <c r="F81" s="151"/>
      <c r="G81" s="151"/>
      <c r="H81" s="139"/>
      <c r="I81" s="139"/>
      <c r="J81" s="139"/>
      <c r="K81" s="139"/>
    </row>
    <row r="82" spans="1:11" ht="20.25">
      <c r="A82" s="139"/>
      <c r="B82" s="139"/>
      <c r="C82" s="139"/>
      <c r="D82" s="139"/>
      <c r="E82" s="150"/>
      <c r="F82" s="151"/>
      <c r="G82" s="151"/>
      <c r="H82" s="139"/>
      <c r="I82" s="139"/>
      <c r="J82" s="139"/>
      <c r="K82" s="139"/>
    </row>
    <row r="83" spans="1:11" ht="20.25">
      <c r="A83" s="139"/>
      <c r="B83" s="139"/>
      <c r="C83" s="139"/>
      <c r="D83" s="139"/>
      <c r="E83" s="150"/>
      <c r="F83" s="151"/>
      <c r="G83" s="151"/>
      <c r="H83" s="139"/>
      <c r="I83" s="139"/>
      <c r="J83" s="139"/>
      <c r="K83" s="139"/>
    </row>
    <row r="84" spans="1:11" ht="20.25">
      <c r="A84" s="139"/>
      <c r="B84" s="139"/>
      <c r="C84" s="139"/>
      <c r="D84" s="139"/>
      <c r="E84" s="150"/>
      <c r="F84" s="151"/>
      <c r="G84" s="151"/>
      <c r="H84" s="139"/>
      <c r="I84" s="139"/>
      <c r="J84" s="139"/>
      <c r="K84" s="139"/>
    </row>
    <row r="85" spans="1:11" ht="20.25">
      <c r="A85" s="139"/>
      <c r="B85" s="139"/>
      <c r="C85" s="139"/>
      <c r="D85" s="139"/>
      <c r="E85" s="150"/>
      <c r="F85" s="151"/>
      <c r="G85" s="151"/>
      <c r="H85" s="139"/>
      <c r="I85" s="139"/>
      <c r="J85" s="139"/>
      <c r="K85" s="139"/>
    </row>
    <row r="86" spans="1:11" ht="20.25">
      <c r="A86" s="139"/>
      <c r="B86" s="139"/>
      <c r="C86" s="139"/>
      <c r="D86" s="139"/>
      <c r="E86" s="150"/>
      <c r="F86" s="151"/>
      <c r="G86" s="151"/>
      <c r="H86" s="139"/>
      <c r="I86" s="139"/>
      <c r="J86" s="139"/>
      <c r="K86" s="139"/>
    </row>
    <row r="87" spans="1:11" ht="20.25">
      <c r="A87" s="139"/>
      <c r="B87" s="139"/>
      <c r="C87" s="139"/>
      <c r="D87" s="139"/>
      <c r="E87" s="150"/>
      <c r="F87" s="151"/>
      <c r="G87" s="151"/>
      <c r="H87" s="139"/>
      <c r="I87" s="139"/>
      <c r="J87" s="139"/>
      <c r="K87" s="139"/>
    </row>
    <row r="88" spans="1:11" ht="20.25">
      <c r="A88" s="139"/>
      <c r="B88" s="139"/>
      <c r="C88" s="139"/>
      <c r="D88" s="139"/>
      <c r="E88" s="150"/>
      <c r="F88" s="151"/>
      <c r="G88" s="151"/>
      <c r="H88" s="139"/>
      <c r="I88" s="139"/>
      <c r="J88" s="139"/>
      <c r="K88" s="139"/>
    </row>
    <row r="89" spans="1:11" ht="20.25">
      <c r="A89" s="139"/>
      <c r="B89" s="139"/>
      <c r="C89" s="139"/>
      <c r="D89" s="139"/>
      <c r="E89" s="150"/>
      <c r="F89" s="151"/>
      <c r="G89" s="151"/>
      <c r="H89" s="139"/>
      <c r="I89" s="139"/>
      <c r="J89" s="139"/>
      <c r="K89" s="139"/>
    </row>
    <row r="90" spans="1:11" ht="20.25">
      <c r="A90" s="139"/>
      <c r="B90" s="139"/>
      <c r="C90" s="139"/>
      <c r="D90" s="139"/>
      <c r="E90" s="150"/>
      <c r="F90" s="151"/>
      <c r="G90" s="151"/>
      <c r="H90" s="139"/>
      <c r="I90" s="139"/>
      <c r="J90" s="139"/>
      <c r="K90" s="139"/>
    </row>
    <row r="91" spans="1:11" ht="20.25">
      <c r="A91" s="139"/>
      <c r="B91" s="139"/>
      <c r="C91" s="139"/>
      <c r="D91" s="139"/>
      <c r="E91" s="150"/>
      <c r="F91" s="151"/>
      <c r="G91" s="151"/>
      <c r="H91" s="139"/>
      <c r="I91" s="139"/>
      <c r="J91" s="139"/>
      <c r="K91" s="139"/>
    </row>
    <row r="92" spans="1:11" ht="20.25">
      <c r="A92" s="139"/>
      <c r="B92" s="139"/>
      <c r="C92" s="139"/>
      <c r="D92" s="139"/>
      <c r="E92" s="150"/>
      <c r="F92" s="151"/>
      <c r="G92" s="151"/>
      <c r="H92" s="139"/>
      <c r="I92" s="139"/>
      <c r="J92" s="139"/>
      <c r="K92" s="139"/>
    </row>
    <row r="93" spans="1:11" ht="20.25">
      <c r="A93" s="139"/>
      <c r="B93" s="139"/>
      <c r="C93" s="139"/>
      <c r="D93" s="139"/>
      <c r="E93" s="150"/>
      <c r="F93" s="151"/>
      <c r="G93" s="151"/>
      <c r="H93" s="139"/>
      <c r="I93" s="139"/>
      <c r="J93" s="139"/>
      <c r="K93" s="139"/>
    </row>
    <row r="94" spans="1:11" ht="20.25">
      <c r="A94" s="139"/>
      <c r="B94" s="139"/>
      <c r="C94" s="139"/>
      <c r="D94" s="139"/>
      <c r="E94" s="150"/>
      <c r="F94" s="151"/>
      <c r="G94" s="151"/>
      <c r="H94" s="139"/>
      <c r="I94" s="139"/>
      <c r="J94" s="139"/>
      <c r="K94" s="139"/>
    </row>
    <row r="95" spans="1:11" ht="20.25">
      <c r="A95" s="139"/>
      <c r="B95" s="139"/>
      <c r="C95" s="139"/>
      <c r="D95" s="139"/>
      <c r="E95" s="150"/>
      <c r="F95" s="151"/>
      <c r="G95" s="151"/>
      <c r="H95" s="139"/>
      <c r="I95" s="139"/>
      <c r="J95" s="139"/>
      <c r="K95" s="139"/>
    </row>
    <row r="96" spans="1:11" ht="20.25">
      <c r="A96" s="139"/>
      <c r="B96" s="139"/>
      <c r="C96" s="139"/>
      <c r="D96" s="139"/>
      <c r="E96" s="150"/>
      <c r="F96" s="151"/>
      <c r="G96" s="151"/>
      <c r="H96" s="139"/>
      <c r="I96" s="139"/>
      <c r="J96" s="139"/>
      <c r="K96" s="139"/>
    </row>
    <row r="97" spans="1:11" ht="20.25">
      <c r="A97" s="139"/>
      <c r="B97" s="139"/>
      <c r="C97" s="139"/>
      <c r="D97" s="139"/>
      <c r="E97" s="150"/>
      <c r="F97" s="151"/>
      <c r="G97" s="151"/>
      <c r="H97" s="139"/>
      <c r="I97" s="139"/>
      <c r="J97" s="139"/>
      <c r="K97" s="139"/>
    </row>
    <row r="98" spans="1:11" ht="20.25">
      <c r="A98" s="139"/>
      <c r="B98" s="139"/>
      <c r="C98" s="139"/>
      <c r="D98" s="139"/>
      <c r="E98" s="150"/>
      <c r="F98" s="151"/>
      <c r="G98" s="151"/>
      <c r="H98" s="139"/>
      <c r="I98" s="139"/>
      <c r="J98" s="139"/>
      <c r="K98" s="139"/>
    </row>
    <row r="99" spans="1:11" ht="20.25">
      <c r="A99" s="139"/>
      <c r="B99" s="139"/>
      <c r="C99" s="139"/>
      <c r="D99" s="139"/>
      <c r="E99" s="150"/>
      <c r="F99" s="151"/>
      <c r="G99" s="151"/>
      <c r="H99" s="139"/>
      <c r="I99" s="139"/>
      <c r="J99" s="139"/>
      <c r="K99" s="139"/>
    </row>
    <row r="100" spans="1:11" ht="20.25">
      <c r="A100" s="139"/>
      <c r="B100" s="139"/>
      <c r="C100" s="139"/>
      <c r="D100" s="139"/>
      <c r="E100" s="150"/>
      <c r="F100" s="151"/>
      <c r="G100" s="151"/>
      <c r="H100" s="139"/>
      <c r="I100" s="139"/>
      <c r="J100" s="139"/>
      <c r="K100" s="139"/>
    </row>
    <row r="101" spans="1:11" ht="20.25">
      <c r="A101" s="139"/>
      <c r="B101" s="139"/>
      <c r="C101" s="139"/>
      <c r="D101" s="139"/>
      <c r="E101" s="150"/>
      <c r="F101" s="151"/>
      <c r="G101" s="151"/>
      <c r="H101" s="139"/>
      <c r="I101" s="139"/>
      <c r="J101" s="139"/>
      <c r="K101" s="139"/>
    </row>
    <row r="102" spans="1:11" ht="20.25">
      <c r="A102" s="139"/>
      <c r="B102" s="139"/>
      <c r="C102" s="139"/>
      <c r="D102" s="139"/>
      <c r="E102" s="150"/>
      <c r="F102" s="153"/>
      <c r="G102" s="139"/>
      <c r="H102" s="139"/>
      <c r="I102" s="139"/>
      <c r="J102" s="139"/>
      <c r="K102" s="139"/>
    </row>
    <row r="103" spans="1:11" ht="20.25">
      <c r="A103" s="139"/>
      <c r="B103" s="139"/>
      <c r="C103" s="139"/>
      <c r="D103" s="139"/>
      <c r="E103" s="150"/>
      <c r="F103" s="153"/>
      <c r="G103" s="139"/>
      <c r="H103" s="139"/>
      <c r="I103" s="139"/>
      <c r="J103" s="139"/>
      <c r="K103" s="139"/>
    </row>
    <row r="104" spans="1:11" ht="20.25">
      <c r="A104" s="139"/>
      <c r="B104" s="139"/>
      <c r="C104" s="139"/>
      <c r="D104" s="139"/>
      <c r="E104" s="150"/>
      <c r="F104" s="153"/>
      <c r="G104" s="139"/>
      <c r="H104" s="139"/>
      <c r="I104" s="139"/>
      <c r="J104" s="139"/>
      <c r="K104" s="139"/>
    </row>
    <row r="105" spans="1:11" ht="20.25">
      <c r="A105" s="139"/>
      <c r="B105" s="139"/>
      <c r="C105" s="139"/>
      <c r="D105" s="139"/>
      <c r="E105" s="150"/>
      <c r="F105" s="153"/>
      <c r="G105" s="139"/>
      <c r="H105" s="139"/>
      <c r="I105" s="139"/>
      <c r="J105" s="139"/>
      <c r="K105" s="139"/>
    </row>
    <row r="106" spans="1:11" ht="20.25">
      <c r="A106" s="139"/>
      <c r="B106" s="139"/>
      <c r="C106" s="139"/>
      <c r="D106" s="139"/>
      <c r="E106" s="150"/>
      <c r="F106" s="153"/>
      <c r="G106" s="139"/>
      <c r="H106" s="139"/>
      <c r="I106" s="139"/>
      <c r="J106" s="139"/>
      <c r="K106" s="139"/>
    </row>
    <row r="107" spans="1:11" ht="20.25">
      <c r="A107" s="139"/>
      <c r="B107" s="139"/>
      <c r="C107" s="139"/>
      <c r="D107" s="139"/>
      <c r="E107" s="150"/>
      <c r="F107" s="153"/>
      <c r="G107" s="139"/>
      <c r="H107" s="139"/>
      <c r="I107" s="139"/>
      <c r="J107" s="139"/>
      <c r="K107" s="139"/>
    </row>
    <row r="108" spans="1:11" ht="20.25">
      <c r="A108" s="139"/>
      <c r="B108" s="139"/>
      <c r="C108" s="139"/>
      <c r="D108" s="139"/>
      <c r="E108" s="150"/>
      <c r="F108" s="153"/>
      <c r="G108" s="139"/>
      <c r="H108" s="139"/>
      <c r="I108" s="139"/>
      <c r="J108" s="139"/>
      <c r="K108" s="139"/>
    </row>
    <row r="109" spans="1:11" ht="20.25">
      <c r="A109" s="139"/>
      <c r="B109" s="139"/>
      <c r="C109" s="139"/>
      <c r="D109" s="139"/>
      <c r="E109" s="150"/>
      <c r="F109" s="153"/>
      <c r="G109" s="139"/>
      <c r="H109" s="139"/>
      <c r="I109" s="139"/>
      <c r="J109" s="139"/>
      <c r="K109" s="139"/>
    </row>
    <row r="110" spans="1:11" ht="20.25">
      <c r="A110" s="139"/>
      <c r="B110" s="139"/>
      <c r="C110" s="139"/>
      <c r="D110" s="139"/>
      <c r="E110" s="150"/>
      <c r="F110" s="153"/>
      <c r="G110" s="139"/>
      <c r="H110" s="139"/>
      <c r="I110" s="139"/>
      <c r="J110" s="139"/>
      <c r="K110" s="139"/>
    </row>
    <row r="111" spans="1:11" ht="20.25">
      <c r="A111" s="139"/>
      <c r="B111" s="139"/>
      <c r="C111" s="139"/>
      <c r="D111" s="139"/>
      <c r="E111" s="150"/>
      <c r="F111" s="153"/>
      <c r="G111" s="139"/>
      <c r="H111" s="139"/>
      <c r="I111" s="139"/>
      <c r="J111" s="139"/>
      <c r="K111" s="139"/>
    </row>
    <row r="112" spans="1:11" ht="20.25">
      <c r="A112" s="139"/>
      <c r="B112" s="139"/>
      <c r="C112" s="139"/>
      <c r="D112" s="139"/>
      <c r="E112" s="150"/>
      <c r="F112" s="153"/>
      <c r="G112" s="139"/>
      <c r="H112" s="139"/>
      <c r="I112" s="139"/>
      <c r="J112" s="139"/>
      <c r="K112" s="139"/>
    </row>
    <row r="113" spans="1:11" ht="20.25">
      <c r="A113" s="139"/>
      <c r="B113" s="139"/>
      <c r="C113" s="139"/>
      <c r="D113" s="139"/>
      <c r="E113" s="150"/>
      <c r="F113" s="153"/>
      <c r="G113" s="139"/>
      <c r="H113" s="139"/>
      <c r="I113" s="139"/>
      <c r="J113" s="139"/>
      <c r="K113" s="139"/>
    </row>
    <row r="114" spans="1:11" ht="20.25">
      <c r="A114" s="139"/>
      <c r="B114" s="139"/>
      <c r="C114" s="139"/>
      <c r="D114" s="139"/>
      <c r="E114" s="150"/>
      <c r="F114" s="153"/>
      <c r="G114" s="139"/>
      <c r="H114" s="139"/>
      <c r="I114" s="139"/>
      <c r="J114" s="139"/>
      <c r="K114" s="139"/>
    </row>
    <row r="115" spans="1:11" ht="20.25">
      <c r="A115" s="139"/>
      <c r="B115" s="139"/>
      <c r="C115" s="139"/>
      <c r="D115" s="139"/>
      <c r="E115" s="150"/>
      <c r="F115" s="153"/>
      <c r="G115" s="139"/>
      <c r="H115" s="139"/>
      <c r="I115" s="139"/>
      <c r="J115" s="139"/>
      <c r="K115" s="139"/>
    </row>
    <row r="116" spans="1:11" ht="20.25">
      <c r="A116" s="139"/>
      <c r="B116" s="139"/>
      <c r="C116" s="139"/>
      <c r="D116" s="139"/>
      <c r="E116" s="150"/>
      <c r="F116" s="153"/>
      <c r="G116" s="139"/>
      <c r="H116" s="139"/>
      <c r="I116" s="139"/>
      <c r="J116" s="139"/>
      <c r="K116" s="139"/>
    </row>
    <row r="117" spans="1:11" ht="20.25">
      <c r="A117" s="139"/>
      <c r="B117" s="139"/>
      <c r="C117" s="139"/>
      <c r="D117" s="139"/>
      <c r="E117" s="150"/>
      <c r="F117" s="153"/>
      <c r="G117" s="139"/>
      <c r="H117" s="139"/>
      <c r="I117" s="139"/>
      <c r="J117" s="139"/>
      <c r="K117" s="139"/>
    </row>
    <row r="118" spans="1:11" ht="20.25">
      <c r="A118" s="139"/>
      <c r="B118" s="139"/>
      <c r="C118" s="139"/>
      <c r="D118" s="139"/>
      <c r="E118" s="150"/>
      <c r="F118" s="153"/>
      <c r="G118" s="139"/>
      <c r="H118" s="139"/>
      <c r="I118" s="139"/>
      <c r="J118" s="139"/>
      <c r="K118" s="139"/>
    </row>
    <row r="119" spans="1:11" ht="20.25">
      <c r="A119" s="139"/>
      <c r="B119" s="139"/>
      <c r="C119" s="139"/>
      <c r="D119" s="139"/>
      <c r="E119" s="150"/>
      <c r="F119" s="153"/>
      <c r="G119" s="139"/>
      <c r="H119" s="139"/>
      <c r="I119" s="139"/>
      <c r="J119" s="139"/>
      <c r="K119" s="139"/>
    </row>
    <row r="120" spans="1:11" ht="20.25">
      <c r="A120" s="139"/>
      <c r="B120" s="139"/>
      <c r="C120" s="139"/>
      <c r="D120" s="139"/>
      <c r="E120" s="150"/>
      <c r="F120" s="153"/>
      <c r="G120" s="139"/>
      <c r="H120" s="139"/>
      <c r="I120" s="139"/>
      <c r="J120" s="139"/>
      <c r="K120" s="139"/>
    </row>
    <row r="121" spans="1:11" ht="20.25">
      <c r="A121" s="139"/>
      <c r="B121" s="139"/>
      <c r="C121" s="139"/>
      <c r="D121" s="139"/>
      <c r="E121" s="150"/>
      <c r="F121" s="153"/>
      <c r="G121" s="139"/>
      <c r="H121" s="139"/>
      <c r="I121" s="139"/>
      <c r="J121" s="139"/>
      <c r="K121" s="139"/>
    </row>
    <row r="122" spans="1:11" ht="20.25">
      <c r="A122" s="139"/>
      <c r="B122" s="139"/>
      <c r="C122" s="139"/>
      <c r="D122" s="139"/>
      <c r="E122" s="150"/>
      <c r="F122" s="153"/>
      <c r="G122" s="139"/>
      <c r="H122" s="139"/>
      <c r="I122" s="139"/>
      <c r="J122" s="139"/>
      <c r="K122" s="139"/>
    </row>
    <row r="123" spans="1:11" ht="20.25">
      <c r="A123" s="139"/>
      <c r="B123" s="139"/>
      <c r="C123" s="139"/>
      <c r="D123" s="139"/>
      <c r="E123" s="150"/>
      <c r="F123" s="153"/>
      <c r="G123" s="139"/>
      <c r="H123" s="139"/>
      <c r="I123" s="139"/>
      <c r="J123" s="139"/>
      <c r="K123" s="139"/>
    </row>
    <row r="124" spans="1:11" ht="20.25">
      <c r="A124" s="139"/>
      <c r="B124" s="139"/>
      <c r="C124" s="139"/>
      <c r="D124" s="139"/>
      <c r="E124" s="150"/>
      <c r="F124" s="153"/>
      <c r="G124" s="139"/>
      <c r="H124" s="139"/>
      <c r="I124" s="139"/>
      <c r="J124" s="139"/>
      <c r="K124" s="139"/>
    </row>
    <row r="125" spans="1:11" ht="20.25">
      <c r="A125" s="139"/>
      <c r="B125" s="139"/>
      <c r="C125" s="139"/>
      <c r="D125" s="139"/>
      <c r="E125" s="150"/>
      <c r="F125" s="153"/>
      <c r="G125" s="139"/>
      <c r="H125" s="139"/>
      <c r="I125" s="139"/>
      <c r="J125" s="139"/>
      <c r="K125" s="139"/>
    </row>
    <row r="126" spans="1:11" ht="20.25">
      <c r="A126" s="139"/>
      <c r="B126" s="139"/>
      <c r="C126" s="139"/>
      <c r="D126" s="139"/>
      <c r="E126" s="150"/>
      <c r="F126" s="153"/>
      <c r="G126" s="139"/>
      <c r="H126" s="139"/>
      <c r="I126" s="139"/>
      <c r="J126" s="139"/>
      <c r="K126" s="139"/>
    </row>
    <row r="127" spans="1:11" ht="20.25">
      <c r="A127" s="139"/>
      <c r="B127" s="139"/>
      <c r="C127" s="139"/>
      <c r="D127" s="139"/>
      <c r="E127" s="150"/>
      <c r="F127" s="153"/>
      <c r="G127" s="139"/>
      <c r="H127" s="139"/>
      <c r="I127" s="139"/>
      <c r="J127" s="139"/>
      <c r="K127" s="139"/>
    </row>
    <row r="128" spans="1:11" ht="20.25">
      <c r="A128" s="139"/>
      <c r="B128" s="139"/>
      <c r="C128" s="139"/>
      <c r="D128" s="139"/>
      <c r="E128" s="150"/>
      <c r="F128" s="153"/>
      <c r="G128" s="139"/>
      <c r="H128" s="139"/>
      <c r="I128" s="139"/>
      <c r="J128" s="139"/>
      <c r="K128" s="139"/>
    </row>
    <row r="129" spans="1:11" ht="20.25">
      <c r="A129" s="139"/>
      <c r="B129" s="139"/>
      <c r="C129" s="139"/>
      <c r="D129" s="139"/>
      <c r="E129" s="150"/>
      <c r="F129" s="153"/>
      <c r="G129" s="139"/>
      <c r="H129" s="139"/>
      <c r="I129" s="139"/>
      <c r="J129" s="139"/>
      <c r="K129" s="139"/>
    </row>
    <row r="130" spans="1:11" ht="20.25">
      <c r="A130" s="139"/>
      <c r="B130" s="139"/>
      <c r="C130" s="139"/>
      <c r="D130" s="139"/>
      <c r="E130" s="150"/>
      <c r="F130" s="153"/>
      <c r="G130" s="139"/>
      <c r="H130" s="139"/>
      <c r="I130" s="139"/>
      <c r="J130" s="139"/>
      <c r="K130" s="139"/>
    </row>
    <row r="131" spans="1:11" ht="20.25">
      <c r="A131" s="139"/>
      <c r="B131" s="139"/>
      <c r="C131" s="139"/>
      <c r="D131" s="139"/>
      <c r="E131" s="150"/>
      <c r="F131" s="153"/>
      <c r="G131" s="139"/>
      <c r="H131" s="139"/>
      <c r="I131" s="139"/>
      <c r="J131" s="139"/>
      <c r="K131" s="139"/>
    </row>
    <row r="132" spans="1:11" ht="20.25">
      <c r="A132" s="139"/>
      <c r="B132" s="139"/>
      <c r="C132" s="139"/>
      <c r="D132" s="139"/>
      <c r="E132" s="150"/>
      <c r="F132" s="153"/>
      <c r="G132" s="139"/>
      <c r="H132" s="139"/>
      <c r="I132" s="139"/>
      <c r="J132" s="139"/>
      <c r="K132" s="139"/>
    </row>
    <row r="133" spans="1:11" ht="20.25">
      <c r="A133" s="139"/>
      <c r="B133" s="139"/>
      <c r="C133" s="139"/>
      <c r="D133" s="139"/>
      <c r="E133" s="150"/>
      <c r="F133" s="153"/>
      <c r="G133" s="139"/>
      <c r="H133" s="139"/>
      <c r="I133" s="139"/>
      <c r="J133" s="139"/>
      <c r="K133" s="139"/>
    </row>
    <row r="134" spans="1:11" ht="20.25">
      <c r="A134" s="139"/>
      <c r="B134" s="139"/>
      <c r="C134" s="139"/>
      <c r="D134" s="139"/>
      <c r="E134" s="150"/>
      <c r="F134" s="153"/>
      <c r="G134" s="139"/>
      <c r="H134" s="139"/>
      <c r="I134" s="139"/>
      <c r="J134" s="139"/>
      <c r="K134" s="139"/>
    </row>
    <row r="135" spans="1:11" ht="20.25">
      <c r="A135" s="139"/>
      <c r="B135" s="139"/>
      <c r="C135" s="139"/>
      <c r="D135" s="139"/>
      <c r="E135" s="150"/>
      <c r="F135" s="153"/>
      <c r="G135" s="139"/>
      <c r="H135" s="139"/>
      <c r="I135" s="139"/>
      <c r="J135" s="139"/>
      <c r="K135" s="139"/>
    </row>
    <row r="136" spans="1:11" ht="20.25">
      <c r="A136" s="139"/>
      <c r="B136" s="139"/>
      <c r="C136" s="139"/>
      <c r="D136" s="139"/>
      <c r="E136" s="150"/>
      <c r="F136" s="153"/>
      <c r="G136" s="139"/>
      <c r="H136" s="139"/>
      <c r="I136" s="139"/>
      <c r="J136" s="139"/>
      <c r="K136" s="139"/>
    </row>
    <row r="137" spans="1:11" ht="20.25">
      <c r="A137" s="139"/>
      <c r="B137" s="139"/>
      <c r="C137" s="139"/>
      <c r="D137" s="139"/>
      <c r="E137" s="150"/>
      <c r="F137" s="153"/>
      <c r="G137" s="139"/>
      <c r="H137" s="139"/>
      <c r="I137" s="139"/>
      <c r="J137" s="139"/>
      <c r="K137" s="139"/>
    </row>
    <row r="138" spans="1:11" ht="20.25">
      <c r="A138" s="139"/>
      <c r="B138" s="139"/>
      <c r="C138" s="139"/>
      <c r="D138" s="139"/>
      <c r="E138" s="150"/>
      <c r="F138" s="153"/>
      <c r="G138" s="139"/>
      <c r="H138" s="139"/>
      <c r="I138" s="139"/>
      <c r="J138" s="139"/>
      <c r="K138" s="139"/>
    </row>
    <row r="139" spans="1:11" ht="20.25">
      <c r="A139" s="139"/>
      <c r="B139" s="139"/>
      <c r="C139" s="139"/>
      <c r="D139" s="139"/>
      <c r="E139" s="150"/>
      <c r="F139" s="153"/>
      <c r="G139" s="139"/>
      <c r="H139" s="139"/>
      <c r="I139" s="139"/>
      <c r="J139" s="139"/>
      <c r="K139" s="139"/>
    </row>
    <row r="140" spans="1:11" ht="20.25">
      <c r="A140" s="139"/>
      <c r="B140" s="139"/>
      <c r="C140" s="139"/>
      <c r="D140" s="139"/>
      <c r="E140" s="150"/>
      <c r="F140" s="153"/>
      <c r="G140" s="139"/>
      <c r="H140" s="139"/>
      <c r="I140" s="139"/>
      <c r="J140" s="139"/>
      <c r="K140" s="139"/>
    </row>
    <row r="141" spans="1:11" ht="20.25">
      <c r="A141" s="139"/>
      <c r="B141" s="139"/>
      <c r="C141" s="139"/>
      <c r="D141" s="139"/>
      <c r="E141" s="150"/>
      <c r="F141" s="153"/>
      <c r="G141" s="139"/>
      <c r="H141" s="139"/>
      <c r="I141" s="139"/>
      <c r="J141" s="139"/>
      <c r="K141" s="139"/>
    </row>
    <row r="142" spans="1:11" ht="20.25">
      <c r="A142" s="139"/>
      <c r="B142" s="139"/>
      <c r="C142" s="139"/>
      <c r="D142" s="139"/>
      <c r="E142" s="150"/>
      <c r="F142" s="153"/>
      <c r="G142" s="139"/>
      <c r="H142" s="139"/>
      <c r="I142" s="139"/>
      <c r="J142" s="139"/>
      <c r="K142" s="139"/>
    </row>
    <row r="143" spans="1:11" ht="20.25">
      <c r="A143" s="139"/>
      <c r="B143" s="139"/>
      <c r="C143" s="139"/>
      <c r="D143" s="139"/>
      <c r="E143" s="150"/>
      <c r="F143" s="153"/>
      <c r="G143" s="139"/>
      <c r="H143" s="139"/>
      <c r="I143" s="139"/>
      <c r="J143" s="139"/>
      <c r="K143" s="139"/>
    </row>
    <row r="144" spans="1:11" ht="20.25">
      <c r="A144" s="139"/>
      <c r="B144" s="139"/>
      <c r="C144" s="139"/>
      <c r="D144" s="139"/>
      <c r="E144" s="150"/>
      <c r="F144" s="153"/>
      <c r="G144" s="139"/>
      <c r="H144" s="139"/>
      <c r="I144" s="139"/>
      <c r="J144" s="139"/>
      <c r="K144" s="139"/>
    </row>
    <row r="145" spans="1:11" ht="20.25">
      <c r="A145" s="139"/>
      <c r="B145" s="139"/>
      <c r="C145" s="139"/>
      <c r="D145" s="139"/>
      <c r="E145" s="150"/>
      <c r="F145" s="153"/>
      <c r="G145" s="139"/>
      <c r="H145" s="139"/>
      <c r="I145" s="139"/>
      <c r="J145" s="139"/>
      <c r="K145" s="139"/>
    </row>
    <row r="146" spans="1:11" ht="20.25">
      <c r="A146" s="139"/>
      <c r="B146" s="139"/>
      <c r="C146" s="139"/>
      <c r="D146" s="139"/>
      <c r="E146" s="150"/>
      <c r="F146" s="153"/>
      <c r="G146" s="139"/>
      <c r="H146" s="139"/>
      <c r="I146" s="139"/>
      <c r="J146" s="139"/>
      <c r="K146" s="139"/>
    </row>
    <row r="147" spans="1:11" ht="20.25">
      <c r="A147" s="139"/>
      <c r="B147" s="139"/>
      <c r="C147" s="139"/>
      <c r="D147" s="139"/>
      <c r="E147" s="150"/>
      <c r="F147" s="153"/>
      <c r="G147" s="139"/>
      <c r="H147" s="139"/>
      <c r="I147" s="139"/>
      <c r="J147" s="139"/>
      <c r="K147" s="139"/>
    </row>
    <row r="148" spans="1:11" ht="20.25">
      <c r="A148" s="139"/>
      <c r="B148" s="139"/>
      <c r="C148" s="139"/>
      <c r="D148" s="139"/>
      <c r="E148" s="150"/>
      <c r="F148" s="153"/>
      <c r="G148" s="139"/>
      <c r="H148" s="139"/>
      <c r="I148" s="139"/>
      <c r="J148" s="139"/>
      <c r="K148" s="139"/>
    </row>
    <row r="149" spans="1:11" ht="20.25">
      <c r="A149" s="139"/>
      <c r="B149" s="139"/>
      <c r="C149" s="139"/>
      <c r="D149" s="139"/>
      <c r="E149" s="150"/>
      <c r="F149" s="153"/>
      <c r="G149" s="139"/>
      <c r="H149" s="139"/>
      <c r="I149" s="139"/>
      <c r="J149" s="139"/>
      <c r="K149" s="139"/>
    </row>
    <row r="150" spans="1:11" ht="20.25">
      <c r="A150" s="139"/>
      <c r="B150" s="139"/>
      <c r="C150" s="139"/>
      <c r="D150" s="139"/>
      <c r="E150" s="150"/>
      <c r="F150" s="153"/>
      <c r="G150" s="139"/>
      <c r="H150" s="139"/>
      <c r="I150" s="139"/>
      <c r="J150" s="139"/>
      <c r="K150" s="139"/>
    </row>
    <row r="151" spans="1:11" ht="20.25">
      <c r="A151" s="139"/>
      <c r="B151" s="139"/>
      <c r="C151" s="139"/>
      <c r="D151" s="139"/>
      <c r="E151" s="150"/>
      <c r="F151" s="153"/>
      <c r="G151" s="139"/>
      <c r="H151" s="139"/>
      <c r="I151" s="139"/>
      <c r="J151" s="139"/>
      <c r="K151" s="139"/>
    </row>
    <row r="152" spans="1:11" ht="20.25">
      <c r="A152" s="139"/>
      <c r="B152" s="139"/>
      <c r="C152" s="139"/>
      <c r="D152" s="139"/>
      <c r="E152" s="150"/>
      <c r="F152" s="153"/>
      <c r="G152" s="139"/>
      <c r="H152" s="139"/>
      <c r="I152" s="139"/>
      <c r="J152" s="139"/>
      <c r="K152" s="139"/>
    </row>
    <row r="153" spans="1:11" ht="20.25">
      <c r="A153" s="139"/>
      <c r="B153" s="139"/>
      <c r="C153" s="139"/>
      <c r="D153" s="139"/>
      <c r="E153" s="150"/>
      <c r="F153" s="153"/>
      <c r="G153" s="139"/>
      <c r="H153" s="139"/>
      <c r="I153" s="139"/>
      <c r="J153" s="139"/>
      <c r="K153" s="139"/>
    </row>
    <row r="154" spans="1:11" ht="20.25">
      <c r="A154" s="139"/>
      <c r="B154" s="139"/>
      <c r="C154" s="139"/>
      <c r="D154" s="139"/>
      <c r="E154" s="150"/>
      <c r="F154" s="153"/>
      <c r="G154" s="139"/>
      <c r="H154" s="139"/>
      <c r="I154" s="139"/>
      <c r="J154" s="139"/>
      <c r="K154" s="139"/>
    </row>
    <row r="155" spans="1:11" ht="20.25">
      <c r="A155" s="139"/>
      <c r="B155" s="139"/>
      <c r="C155" s="139"/>
      <c r="D155" s="139"/>
      <c r="E155" s="150"/>
      <c r="F155" s="153"/>
      <c r="G155" s="139"/>
      <c r="H155" s="139"/>
      <c r="I155" s="139"/>
      <c r="J155" s="139"/>
      <c r="K155" s="139"/>
    </row>
    <row r="156" spans="1:11" ht="20.25">
      <c r="A156" s="139"/>
      <c r="B156" s="139"/>
      <c r="C156" s="139"/>
      <c r="D156" s="139"/>
      <c r="E156" s="150"/>
      <c r="F156" s="153"/>
      <c r="G156" s="139"/>
      <c r="H156" s="139"/>
      <c r="I156" s="139"/>
      <c r="J156" s="139"/>
      <c r="K156" s="139"/>
    </row>
    <row r="157" spans="1:11" ht="20.25">
      <c r="A157" s="139"/>
      <c r="B157" s="139"/>
      <c r="C157" s="139"/>
      <c r="D157" s="139"/>
      <c r="E157" s="150"/>
      <c r="F157" s="153"/>
      <c r="G157" s="139"/>
      <c r="H157" s="139"/>
      <c r="I157" s="139"/>
      <c r="J157" s="139"/>
      <c r="K157" s="139"/>
    </row>
    <row r="158" spans="1:11" ht="20.25">
      <c r="A158" s="139"/>
      <c r="B158" s="139"/>
      <c r="C158" s="139"/>
      <c r="D158" s="139"/>
      <c r="E158" s="150"/>
      <c r="F158" s="153"/>
      <c r="G158" s="139"/>
      <c r="H158" s="139"/>
      <c r="I158" s="139"/>
      <c r="J158" s="139"/>
      <c r="K158" s="139"/>
    </row>
    <row r="159" spans="1:11" ht="20.25">
      <c r="A159" s="139"/>
      <c r="B159" s="139"/>
      <c r="C159" s="139"/>
      <c r="D159" s="139"/>
      <c r="E159" s="150"/>
      <c r="F159" s="153"/>
      <c r="G159" s="139"/>
      <c r="H159" s="139"/>
      <c r="I159" s="139"/>
      <c r="J159" s="139"/>
      <c r="K159" s="139"/>
    </row>
    <row r="160" spans="1:11" ht="20.25">
      <c r="A160" s="139"/>
      <c r="B160" s="139"/>
      <c r="C160" s="139"/>
      <c r="D160" s="139"/>
      <c r="E160" s="150"/>
      <c r="F160" s="153"/>
      <c r="G160" s="139"/>
      <c r="H160" s="139"/>
      <c r="I160" s="139"/>
      <c r="J160" s="139"/>
      <c r="K160" s="139"/>
    </row>
    <row r="161" spans="1:11" ht="20.25">
      <c r="A161" s="139"/>
      <c r="B161" s="139"/>
      <c r="C161" s="139"/>
      <c r="D161" s="139"/>
      <c r="E161" s="150"/>
      <c r="F161" s="153"/>
      <c r="G161" s="139"/>
      <c r="H161" s="139"/>
      <c r="I161" s="139"/>
      <c r="J161" s="139"/>
      <c r="K161" s="139"/>
    </row>
    <row r="162" spans="1:11" ht="20.25">
      <c r="A162" s="139"/>
      <c r="B162" s="139"/>
      <c r="C162" s="139"/>
      <c r="D162" s="139"/>
      <c r="E162" s="150"/>
      <c r="F162" s="153"/>
      <c r="G162" s="139"/>
      <c r="H162" s="139"/>
      <c r="I162" s="139"/>
      <c r="J162" s="139"/>
      <c r="K162" s="139"/>
    </row>
    <row r="163" spans="1:11" ht="20.25">
      <c r="A163" s="139"/>
      <c r="B163" s="139"/>
      <c r="C163" s="139"/>
      <c r="D163" s="139"/>
      <c r="E163" s="150"/>
      <c r="F163" s="153"/>
      <c r="G163" s="139"/>
      <c r="H163" s="139"/>
      <c r="I163" s="139"/>
      <c r="J163" s="139"/>
      <c r="K163" s="139"/>
    </row>
    <row r="164" spans="1:11" ht="20.25">
      <c r="A164" s="139"/>
      <c r="B164" s="139"/>
      <c r="C164" s="139"/>
      <c r="D164" s="139"/>
      <c r="E164" s="150"/>
      <c r="F164" s="153"/>
      <c r="G164" s="139"/>
      <c r="H164" s="139"/>
      <c r="I164" s="139"/>
      <c r="J164" s="139"/>
      <c r="K164" s="139"/>
    </row>
    <row r="165" spans="1:11" ht="20.25">
      <c r="A165" s="139"/>
      <c r="B165" s="139"/>
      <c r="C165" s="139"/>
      <c r="D165" s="139"/>
      <c r="E165" s="150"/>
      <c r="F165" s="153"/>
      <c r="G165" s="139"/>
      <c r="H165" s="139"/>
      <c r="I165" s="139"/>
      <c r="J165" s="139"/>
      <c r="K165" s="139"/>
    </row>
    <row r="166" spans="1:11" ht="20.25">
      <c r="A166" s="139"/>
      <c r="B166" s="139"/>
      <c r="C166" s="139"/>
      <c r="D166" s="139"/>
      <c r="E166" s="150"/>
      <c r="F166" s="153"/>
      <c r="G166" s="139"/>
      <c r="H166" s="139"/>
      <c r="I166" s="139"/>
      <c r="J166" s="139"/>
      <c r="K166" s="139"/>
    </row>
    <row r="167" spans="1:11" ht="20.25">
      <c r="A167" s="139"/>
      <c r="B167" s="139"/>
      <c r="C167" s="139"/>
      <c r="D167" s="139"/>
      <c r="E167" s="150"/>
      <c r="F167" s="153"/>
      <c r="G167" s="139"/>
      <c r="H167" s="139"/>
      <c r="I167" s="139"/>
      <c r="J167" s="139"/>
      <c r="K167" s="139"/>
    </row>
    <row r="168" spans="1:11" ht="20.25">
      <c r="A168" s="139"/>
      <c r="B168" s="139"/>
      <c r="C168" s="139"/>
      <c r="D168" s="139"/>
      <c r="E168" s="150"/>
      <c r="F168" s="153"/>
      <c r="G168" s="139"/>
      <c r="H168" s="139"/>
      <c r="I168" s="139"/>
      <c r="J168" s="139"/>
      <c r="K168" s="139"/>
    </row>
    <row r="169" spans="1:11" ht="20.25">
      <c r="A169" s="139"/>
      <c r="B169" s="139"/>
      <c r="C169" s="139"/>
      <c r="D169" s="139"/>
      <c r="E169" s="150"/>
      <c r="F169" s="153"/>
      <c r="G169" s="139"/>
      <c r="H169" s="139"/>
      <c r="I169" s="139"/>
      <c r="J169" s="139"/>
      <c r="K169" s="139"/>
    </row>
    <row r="170" spans="1:11" ht="20.25">
      <c r="A170" s="139"/>
      <c r="B170" s="139"/>
      <c r="C170" s="139"/>
      <c r="D170" s="139"/>
      <c r="E170" s="150"/>
      <c r="F170" s="153"/>
      <c r="G170" s="139"/>
      <c r="H170" s="139"/>
      <c r="I170" s="139"/>
      <c r="J170" s="139"/>
      <c r="K170" s="139"/>
    </row>
    <row r="171" spans="1:11" ht="20.25">
      <c r="A171" s="139"/>
      <c r="B171" s="139"/>
      <c r="C171" s="139"/>
      <c r="D171" s="139"/>
      <c r="E171" s="150"/>
      <c r="F171" s="153"/>
      <c r="G171" s="139"/>
      <c r="H171" s="139"/>
      <c r="I171" s="139"/>
      <c r="J171" s="139"/>
      <c r="K171" s="139"/>
    </row>
    <row r="172" spans="1:11" ht="20.25">
      <c r="A172" s="139"/>
      <c r="B172" s="139"/>
      <c r="C172" s="139"/>
      <c r="D172" s="139"/>
      <c r="E172" s="150"/>
      <c r="F172" s="153"/>
      <c r="G172" s="139"/>
      <c r="H172" s="139"/>
      <c r="I172" s="139"/>
      <c r="J172" s="139"/>
      <c r="K172" s="139"/>
    </row>
    <row r="173" spans="1:11" ht="20.25">
      <c r="A173" s="139"/>
      <c r="B173" s="139"/>
      <c r="C173" s="139"/>
      <c r="D173" s="139"/>
      <c r="E173" s="150"/>
      <c r="F173" s="153"/>
      <c r="G173" s="139"/>
      <c r="H173" s="139"/>
      <c r="I173" s="139"/>
      <c r="J173" s="139"/>
      <c r="K173" s="139"/>
    </row>
    <row r="174" spans="1:11" ht="20.25">
      <c r="A174" s="139"/>
      <c r="B174" s="139"/>
      <c r="C174" s="139"/>
      <c r="D174" s="139"/>
      <c r="E174" s="150"/>
      <c r="F174" s="153"/>
      <c r="G174" s="139"/>
      <c r="H174" s="139"/>
      <c r="I174" s="139"/>
      <c r="J174" s="139"/>
      <c r="K174" s="139"/>
    </row>
    <row r="175" spans="1:11" ht="20.25">
      <c r="A175" s="139"/>
      <c r="B175" s="139"/>
      <c r="C175" s="139"/>
      <c r="D175" s="139"/>
      <c r="E175" s="150"/>
      <c r="F175" s="153"/>
      <c r="G175" s="139"/>
      <c r="H175" s="139"/>
      <c r="I175" s="139"/>
      <c r="J175" s="139"/>
      <c r="K175" s="139"/>
    </row>
    <row r="176" spans="1:11" ht="20.25">
      <c r="A176" s="139"/>
      <c r="B176" s="139"/>
      <c r="C176" s="139"/>
      <c r="D176" s="139"/>
      <c r="E176" s="150"/>
      <c r="F176" s="153"/>
      <c r="G176" s="139"/>
      <c r="H176" s="139"/>
      <c r="I176" s="139"/>
      <c r="J176" s="139"/>
      <c r="K176" s="139"/>
    </row>
    <row r="177" spans="1:11" ht="20.25">
      <c r="A177" s="139"/>
      <c r="B177" s="139"/>
      <c r="C177" s="139"/>
      <c r="D177" s="139"/>
      <c r="E177" s="150"/>
      <c r="F177" s="153"/>
      <c r="G177" s="139"/>
      <c r="H177" s="139"/>
      <c r="I177" s="139"/>
      <c r="J177" s="139"/>
      <c r="K177" s="139"/>
    </row>
    <row r="178" spans="1:11" ht="20.25">
      <c r="A178" s="139"/>
      <c r="B178" s="139"/>
      <c r="C178" s="139"/>
      <c r="D178" s="139"/>
      <c r="E178" s="150"/>
      <c r="F178" s="153"/>
      <c r="G178" s="139"/>
      <c r="H178" s="139"/>
      <c r="I178" s="139"/>
      <c r="J178" s="139"/>
      <c r="K178" s="139"/>
    </row>
    <row r="179" spans="1:11" ht="20.25">
      <c r="A179" s="139"/>
      <c r="B179" s="139"/>
      <c r="C179" s="139"/>
      <c r="D179" s="139"/>
      <c r="E179" s="150"/>
      <c r="F179" s="153"/>
      <c r="G179" s="139"/>
      <c r="H179" s="139"/>
      <c r="I179" s="139"/>
      <c r="J179" s="139"/>
      <c r="K179" s="139"/>
    </row>
    <row r="180" spans="1:11" ht="20.25">
      <c r="A180" s="139"/>
      <c r="B180" s="139"/>
      <c r="C180" s="139"/>
      <c r="D180" s="139"/>
      <c r="E180" s="150"/>
      <c r="F180" s="153"/>
      <c r="G180" s="139"/>
      <c r="H180" s="139"/>
      <c r="I180" s="139"/>
      <c r="J180" s="139"/>
      <c r="K180" s="139"/>
    </row>
    <row r="181" spans="1:11" ht="20.25">
      <c r="A181" s="139"/>
      <c r="B181" s="139"/>
      <c r="C181" s="139"/>
      <c r="D181" s="139"/>
      <c r="E181" s="150"/>
      <c r="F181" s="153"/>
      <c r="G181" s="139"/>
      <c r="H181" s="139"/>
      <c r="I181" s="139"/>
      <c r="J181" s="139"/>
      <c r="K181" s="139"/>
    </row>
    <row r="182" spans="1:11" ht="20.25">
      <c r="A182" s="139"/>
      <c r="B182" s="139"/>
      <c r="C182" s="139"/>
      <c r="D182" s="139"/>
      <c r="E182" s="150"/>
      <c r="F182" s="153"/>
      <c r="G182" s="139"/>
      <c r="H182" s="139"/>
      <c r="I182" s="139"/>
      <c r="J182" s="139"/>
      <c r="K182" s="139"/>
    </row>
    <row r="183" spans="1:11" ht="20.25">
      <c r="A183" s="139"/>
      <c r="B183" s="139"/>
      <c r="C183" s="139"/>
      <c r="D183" s="139"/>
      <c r="E183" s="150"/>
      <c r="F183" s="153"/>
      <c r="G183" s="139"/>
      <c r="H183" s="139"/>
      <c r="I183" s="139"/>
      <c r="J183" s="139"/>
      <c r="K183" s="139"/>
    </row>
    <row r="184" spans="1:11" ht="20.25">
      <c r="A184" s="139"/>
      <c r="B184" s="139"/>
      <c r="C184" s="139"/>
      <c r="D184" s="139"/>
      <c r="E184" s="150"/>
      <c r="F184" s="153"/>
      <c r="G184" s="139"/>
      <c r="H184" s="139"/>
      <c r="I184" s="139"/>
      <c r="J184" s="139"/>
      <c r="K184" s="139"/>
    </row>
    <row r="185" spans="1:11" ht="20.25">
      <c r="A185" s="139"/>
      <c r="B185" s="139"/>
      <c r="C185" s="139"/>
      <c r="D185" s="139"/>
      <c r="E185" s="150"/>
      <c r="F185" s="153"/>
      <c r="G185" s="139"/>
      <c r="H185" s="139"/>
      <c r="I185" s="139"/>
      <c r="J185" s="139"/>
      <c r="K185" s="139"/>
    </row>
    <row r="186" spans="1:11" ht="20.25">
      <c r="A186" s="139"/>
      <c r="B186" s="139"/>
      <c r="C186" s="139"/>
      <c r="D186" s="139"/>
      <c r="E186" s="150"/>
      <c r="F186" s="153"/>
      <c r="G186" s="139"/>
      <c r="H186" s="139"/>
      <c r="I186" s="139"/>
      <c r="J186" s="139"/>
      <c r="K186" s="139"/>
    </row>
    <row r="187" spans="1:11" ht="20.25">
      <c r="A187" s="139"/>
      <c r="B187" s="139"/>
      <c r="C187" s="139"/>
      <c r="D187" s="139"/>
      <c r="E187" s="150"/>
      <c r="F187" s="153"/>
      <c r="G187" s="139"/>
      <c r="H187" s="139"/>
      <c r="I187" s="139"/>
      <c r="J187" s="139"/>
      <c r="K187" s="139"/>
    </row>
    <row r="188" spans="1:11" ht="20.25">
      <c r="A188" s="139"/>
      <c r="B188" s="139"/>
      <c r="C188" s="139"/>
      <c r="D188" s="139"/>
      <c r="E188" s="150"/>
      <c r="F188" s="153"/>
      <c r="G188" s="139"/>
      <c r="H188" s="139"/>
      <c r="I188" s="139"/>
      <c r="J188" s="139"/>
      <c r="K188" s="139"/>
    </row>
    <row r="189" spans="1:11" ht="20.25">
      <c r="A189" s="139"/>
      <c r="B189" s="139"/>
      <c r="C189" s="139"/>
      <c r="D189" s="139"/>
      <c r="E189" s="150"/>
      <c r="F189" s="153"/>
      <c r="G189" s="139"/>
      <c r="H189" s="139"/>
      <c r="I189" s="139"/>
      <c r="J189" s="139"/>
      <c r="K189" s="139"/>
    </row>
    <row r="190" spans="1:11" ht="20.25">
      <c r="A190" s="139"/>
      <c r="B190" s="139"/>
      <c r="C190" s="139"/>
      <c r="D190" s="139"/>
      <c r="E190" s="150"/>
      <c r="F190" s="153"/>
      <c r="G190" s="139"/>
      <c r="H190" s="139"/>
      <c r="I190" s="139"/>
      <c r="J190" s="139"/>
      <c r="K190" s="139"/>
    </row>
    <row r="191" spans="1:11" ht="20.25">
      <c r="A191" s="139"/>
      <c r="B191" s="139"/>
      <c r="C191" s="139"/>
      <c r="D191" s="139"/>
      <c r="E191" s="150"/>
      <c r="F191" s="153"/>
      <c r="G191" s="139"/>
      <c r="H191" s="139"/>
      <c r="I191" s="139"/>
      <c r="J191" s="139"/>
      <c r="K191" s="139"/>
    </row>
    <row r="192" spans="1:11" ht="20.25">
      <c r="A192" s="139"/>
      <c r="B192" s="139"/>
      <c r="C192" s="139"/>
      <c r="D192" s="139"/>
      <c r="E192" s="150"/>
      <c r="F192" s="153"/>
      <c r="G192" s="139"/>
      <c r="H192" s="139"/>
      <c r="I192" s="139"/>
      <c r="J192" s="139"/>
      <c r="K192" s="139"/>
    </row>
    <row r="193" spans="1:11" ht="20.25">
      <c r="A193" s="139"/>
      <c r="B193" s="139"/>
      <c r="C193" s="139"/>
      <c r="D193" s="139"/>
      <c r="E193" s="150"/>
      <c r="F193" s="153"/>
      <c r="G193" s="139"/>
      <c r="H193" s="139"/>
      <c r="I193" s="139"/>
      <c r="J193" s="139"/>
      <c r="K193" s="139"/>
    </row>
    <row r="194" spans="1:11" ht="20.25">
      <c r="A194" s="139"/>
      <c r="B194" s="139"/>
      <c r="C194" s="139"/>
      <c r="D194" s="139"/>
      <c r="E194" s="150"/>
      <c r="F194" s="153"/>
      <c r="G194" s="139"/>
      <c r="H194" s="139"/>
      <c r="I194" s="139"/>
      <c r="J194" s="139"/>
      <c r="K194" s="139"/>
    </row>
    <row r="195" spans="1:11" ht="20.25">
      <c r="A195" s="139"/>
      <c r="B195" s="139"/>
      <c r="C195" s="139"/>
      <c r="D195" s="139"/>
      <c r="E195" s="150"/>
      <c r="F195" s="153"/>
      <c r="G195" s="139"/>
      <c r="H195" s="139"/>
      <c r="I195" s="139"/>
      <c r="J195" s="139"/>
      <c r="K195" s="139"/>
    </row>
    <row r="196" spans="1:11" ht="20.25">
      <c r="A196" s="139"/>
      <c r="B196" s="139"/>
      <c r="C196" s="139"/>
      <c r="D196" s="139"/>
      <c r="E196" s="150"/>
      <c r="F196" s="153"/>
      <c r="G196" s="139"/>
      <c r="H196" s="139"/>
      <c r="I196" s="139"/>
      <c r="J196" s="139"/>
      <c r="K196" s="139"/>
    </row>
    <row r="197" spans="1:11" ht="20.25">
      <c r="A197" s="139"/>
      <c r="B197" s="139"/>
      <c r="C197" s="139"/>
      <c r="D197" s="139"/>
      <c r="E197" s="150"/>
      <c r="F197" s="153"/>
      <c r="G197" s="139"/>
      <c r="H197" s="139"/>
      <c r="I197" s="139"/>
      <c r="J197" s="139"/>
      <c r="K197" s="139"/>
    </row>
    <row r="198" spans="1:11" ht="20.25">
      <c r="A198" s="139"/>
      <c r="B198" s="139"/>
      <c r="C198" s="139"/>
      <c r="D198" s="139"/>
      <c r="E198" s="150"/>
      <c r="F198" s="153"/>
      <c r="G198" s="139"/>
      <c r="H198" s="139"/>
      <c r="I198" s="139"/>
      <c r="J198" s="139"/>
      <c r="K198" s="139"/>
    </row>
    <row r="199" spans="1:11" ht="20.25">
      <c r="A199" s="139"/>
      <c r="B199" s="139"/>
      <c r="C199" s="139"/>
      <c r="D199" s="139"/>
      <c r="E199" s="150"/>
      <c r="F199" s="153"/>
      <c r="G199" s="139"/>
      <c r="H199" s="139"/>
      <c r="I199" s="139"/>
      <c r="J199" s="139"/>
      <c r="K199" s="139"/>
    </row>
    <row r="200" spans="1:11" ht="20.25">
      <c r="A200" s="139"/>
      <c r="B200" s="139"/>
      <c r="C200" s="139"/>
      <c r="D200" s="139"/>
      <c r="E200" s="150"/>
      <c r="F200" s="153"/>
      <c r="G200" s="139"/>
      <c r="H200" s="139"/>
      <c r="I200" s="139"/>
      <c r="J200" s="139"/>
      <c r="K200" s="139"/>
    </row>
    <row r="201" spans="1:11" ht="20.25">
      <c r="A201" s="139"/>
      <c r="B201" s="139"/>
      <c r="C201" s="139"/>
      <c r="D201" s="139"/>
      <c r="E201" s="150"/>
      <c r="F201" s="153"/>
      <c r="G201" s="139"/>
      <c r="H201" s="139"/>
      <c r="I201" s="139"/>
      <c r="J201" s="139"/>
      <c r="K201" s="139"/>
    </row>
    <row r="202" spans="1:11" ht="20.25">
      <c r="A202" s="139"/>
      <c r="B202" s="139"/>
      <c r="C202" s="139"/>
      <c r="D202" s="139"/>
      <c r="E202" s="150"/>
      <c r="F202" s="153"/>
      <c r="G202" s="139"/>
      <c r="H202" s="139"/>
      <c r="I202" s="139"/>
      <c r="J202" s="139"/>
      <c r="K202" s="139"/>
    </row>
    <row r="203" spans="1:11" ht="20.25">
      <c r="A203" s="139"/>
      <c r="B203" s="139"/>
      <c r="C203" s="139"/>
      <c r="D203" s="139"/>
      <c r="E203" s="150"/>
      <c r="F203" s="153"/>
      <c r="G203" s="139"/>
      <c r="H203" s="139"/>
      <c r="I203" s="139"/>
      <c r="J203" s="139"/>
      <c r="K203" s="139"/>
    </row>
    <row r="204" spans="1:11" ht="20.25">
      <c r="A204" s="139"/>
      <c r="B204" s="139"/>
      <c r="C204" s="139"/>
      <c r="D204" s="139"/>
      <c r="E204" s="150"/>
      <c r="F204" s="153"/>
      <c r="G204" s="139"/>
      <c r="H204" s="139"/>
      <c r="I204" s="139"/>
      <c r="J204" s="139"/>
      <c r="K204" s="139"/>
    </row>
    <row r="205" spans="1:11" ht="20.25">
      <c r="A205" s="139"/>
      <c r="B205" s="139"/>
      <c r="C205" s="139"/>
      <c r="D205" s="139"/>
      <c r="E205" s="150"/>
      <c r="F205" s="153"/>
      <c r="G205" s="139"/>
      <c r="H205" s="139"/>
      <c r="I205" s="139"/>
      <c r="J205" s="139"/>
      <c r="K205" s="139"/>
    </row>
    <row r="206" spans="1:11" ht="20.25">
      <c r="A206" s="139"/>
      <c r="B206" s="139"/>
      <c r="C206" s="139"/>
      <c r="D206" s="139"/>
      <c r="E206" s="150"/>
      <c r="F206" s="153"/>
      <c r="G206" s="139"/>
      <c r="H206" s="139"/>
      <c r="I206" s="139"/>
      <c r="J206" s="139"/>
      <c r="K206" s="139"/>
    </row>
    <row r="207" spans="1:11" ht="20.25">
      <c r="A207" s="139"/>
      <c r="B207" s="139"/>
      <c r="C207" s="139"/>
      <c r="D207" s="139"/>
      <c r="E207" s="150"/>
      <c r="F207" s="153"/>
      <c r="G207" s="139"/>
      <c r="H207" s="139"/>
      <c r="I207" s="139"/>
      <c r="J207" s="139"/>
      <c r="K207" s="139"/>
    </row>
    <row r="208" spans="1:11" ht="20.25">
      <c r="A208" s="139"/>
      <c r="B208" s="139"/>
      <c r="C208" s="139"/>
      <c r="D208" s="139"/>
      <c r="E208" s="150"/>
      <c r="F208" s="153"/>
      <c r="G208" s="139"/>
      <c r="H208" s="139"/>
      <c r="I208" s="139"/>
      <c r="J208" s="139"/>
      <c r="K208" s="139"/>
    </row>
    <row r="209" spans="1:11" ht="20.25">
      <c r="A209" s="139"/>
      <c r="B209" s="139"/>
      <c r="C209" s="139"/>
      <c r="D209" s="139"/>
      <c r="E209" s="150"/>
      <c r="F209" s="153"/>
      <c r="G209" s="139"/>
      <c r="H209" s="139"/>
      <c r="I209" s="139"/>
      <c r="J209" s="139"/>
      <c r="K209" s="139"/>
    </row>
    <row r="210" spans="1:11" ht="20.25">
      <c r="A210" s="139"/>
      <c r="B210" s="139"/>
      <c r="C210" s="139"/>
      <c r="D210" s="139"/>
      <c r="E210" s="150"/>
      <c r="F210" s="153"/>
      <c r="G210" s="139"/>
      <c r="H210" s="139"/>
      <c r="I210" s="139"/>
      <c r="J210" s="139"/>
      <c r="K210" s="139"/>
    </row>
    <row r="211" spans="1:11" ht="20.25">
      <c r="A211" s="139"/>
      <c r="B211" s="139"/>
      <c r="C211" s="139"/>
      <c r="D211" s="139"/>
      <c r="E211" s="150"/>
      <c r="F211" s="153"/>
      <c r="G211" s="139"/>
      <c r="H211" s="139"/>
      <c r="I211" s="139"/>
      <c r="J211" s="139"/>
      <c r="K211" s="139"/>
    </row>
    <row r="212" spans="1:11" ht="20.25">
      <c r="A212" s="139"/>
      <c r="B212" s="139"/>
      <c r="C212" s="139"/>
      <c r="D212" s="139"/>
      <c r="E212" s="150"/>
      <c r="F212" s="153"/>
      <c r="G212" s="139"/>
      <c r="H212" s="139"/>
      <c r="I212" s="139"/>
      <c r="J212" s="139"/>
      <c r="K212" s="139"/>
    </row>
    <row r="213" spans="1:11" ht="20.25">
      <c r="A213" s="139"/>
      <c r="B213" s="139"/>
      <c r="C213" s="139"/>
      <c r="D213" s="139"/>
      <c r="E213" s="150"/>
      <c r="F213" s="153"/>
      <c r="G213" s="139"/>
      <c r="H213" s="139"/>
      <c r="I213" s="139"/>
      <c r="J213" s="139"/>
      <c r="K213" s="139"/>
    </row>
    <row r="214" spans="1:11" ht="20.25">
      <c r="A214" s="139"/>
      <c r="B214" s="139"/>
      <c r="C214" s="139"/>
      <c r="D214" s="139"/>
      <c r="E214" s="150"/>
      <c r="F214" s="153"/>
      <c r="G214" s="139"/>
      <c r="H214" s="139"/>
      <c r="I214" s="139"/>
      <c r="J214" s="139"/>
      <c r="K214" s="139"/>
    </row>
    <row r="215" spans="1:11" ht="20.25">
      <c r="A215" s="139"/>
      <c r="B215" s="139"/>
      <c r="C215" s="139"/>
      <c r="D215" s="139"/>
      <c r="E215" s="150"/>
      <c r="F215" s="153"/>
      <c r="G215" s="139"/>
      <c r="H215" s="139"/>
      <c r="I215" s="139"/>
      <c r="J215" s="139"/>
      <c r="K215" s="139"/>
    </row>
    <row r="216" spans="1:11" ht="20.25">
      <c r="A216" s="139"/>
      <c r="B216" s="139"/>
      <c r="C216" s="139"/>
      <c r="D216" s="139"/>
      <c r="E216" s="150"/>
      <c r="F216" s="153"/>
      <c r="G216" s="139"/>
      <c r="H216" s="139"/>
      <c r="I216" s="139"/>
      <c r="J216" s="139"/>
      <c r="K216" s="139"/>
    </row>
    <row r="217" spans="1:11" ht="20.25">
      <c r="A217" s="139"/>
      <c r="B217" s="139"/>
      <c r="C217" s="139"/>
      <c r="D217" s="139"/>
      <c r="E217" s="150"/>
      <c r="F217" s="153"/>
      <c r="G217" s="139"/>
      <c r="H217" s="139"/>
      <c r="I217" s="139"/>
      <c r="J217" s="139"/>
      <c r="K217" s="139"/>
    </row>
    <row r="218" spans="1:11" ht="20.25">
      <c r="A218" s="139"/>
      <c r="B218" s="139"/>
      <c r="C218" s="139"/>
      <c r="D218" s="139"/>
      <c r="E218" s="150"/>
      <c r="F218" s="153"/>
      <c r="G218" s="139"/>
      <c r="H218" s="139"/>
      <c r="I218" s="139"/>
      <c r="J218" s="139"/>
      <c r="K218" s="139"/>
    </row>
    <row r="219" spans="1:11" ht="20.25">
      <c r="A219" s="139"/>
      <c r="B219" s="139"/>
      <c r="C219" s="139"/>
      <c r="D219" s="139"/>
      <c r="E219" s="150"/>
      <c r="F219" s="153"/>
      <c r="G219" s="139"/>
      <c r="H219" s="139"/>
      <c r="I219" s="139"/>
      <c r="J219" s="139"/>
      <c r="K219" s="139"/>
    </row>
    <row r="220" spans="1:11" ht="20.25">
      <c r="A220" s="139"/>
      <c r="B220" s="139"/>
      <c r="C220" s="139"/>
      <c r="D220" s="139"/>
      <c r="E220" s="150"/>
      <c r="F220" s="153"/>
      <c r="G220" s="139"/>
      <c r="H220" s="139"/>
      <c r="I220" s="139"/>
      <c r="J220" s="139"/>
      <c r="K220" s="139"/>
    </row>
    <row r="221" spans="1:11" ht="20.25">
      <c r="A221" s="139"/>
      <c r="B221" s="139"/>
      <c r="C221" s="139"/>
      <c r="D221" s="139"/>
      <c r="E221" s="150"/>
      <c r="F221" s="153"/>
      <c r="G221" s="139"/>
      <c r="H221" s="139"/>
      <c r="I221" s="139"/>
      <c r="J221" s="139"/>
      <c r="K221" s="139"/>
    </row>
    <row r="222" spans="1:11" ht="20.25">
      <c r="A222" s="139"/>
      <c r="B222" s="139"/>
      <c r="C222" s="139"/>
      <c r="D222" s="139"/>
      <c r="E222" s="150"/>
      <c r="F222" s="153"/>
      <c r="G222" s="139"/>
      <c r="H222" s="139"/>
      <c r="I222" s="139"/>
      <c r="J222" s="139"/>
      <c r="K222" s="139"/>
    </row>
    <row r="223" spans="1:11" ht="20.25">
      <c r="A223" s="139"/>
      <c r="B223" s="139"/>
      <c r="C223" s="139"/>
      <c r="D223" s="139"/>
      <c r="E223" s="150"/>
      <c r="F223" s="153"/>
      <c r="G223" s="139"/>
      <c r="H223" s="139"/>
      <c r="I223" s="139"/>
      <c r="J223" s="139"/>
      <c r="K223" s="139"/>
    </row>
    <row r="224" spans="1:11" ht="20.25">
      <c r="A224" s="139"/>
      <c r="B224" s="139"/>
      <c r="C224" s="139"/>
      <c r="D224" s="139"/>
      <c r="E224" s="150"/>
      <c r="F224" s="153"/>
      <c r="G224" s="139"/>
      <c r="H224" s="139"/>
      <c r="I224" s="139"/>
      <c r="J224" s="139"/>
      <c r="K224" s="139"/>
    </row>
    <row r="225" spans="1:11" ht="20.25">
      <c r="A225" s="139"/>
      <c r="B225" s="139"/>
      <c r="C225" s="139"/>
      <c r="D225" s="139"/>
      <c r="E225" s="150"/>
      <c r="F225" s="153"/>
      <c r="G225" s="139"/>
      <c r="H225" s="139"/>
      <c r="I225" s="139"/>
      <c r="J225" s="139"/>
      <c r="K225" s="139"/>
    </row>
    <row r="226" spans="1:11" ht="20.25">
      <c r="A226" s="139"/>
      <c r="B226" s="139"/>
      <c r="C226" s="139"/>
      <c r="D226" s="139"/>
      <c r="E226" s="150"/>
      <c r="F226" s="153"/>
      <c r="G226" s="139"/>
      <c r="H226" s="139"/>
      <c r="I226" s="139"/>
      <c r="J226" s="139"/>
      <c r="K226" s="139"/>
    </row>
    <row r="227" spans="1:11" ht="20.25">
      <c r="A227" s="139"/>
      <c r="B227" s="139"/>
      <c r="C227" s="139"/>
      <c r="D227" s="139"/>
      <c r="E227" s="150"/>
      <c r="F227" s="153"/>
      <c r="G227" s="139"/>
      <c r="H227" s="139"/>
      <c r="I227" s="139"/>
      <c r="J227" s="139"/>
      <c r="K227" s="139"/>
    </row>
    <row r="228" spans="1:11" ht="20.25">
      <c r="A228" s="139"/>
      <c r="B228" s="139"/>
      <c r="C228" s="139"/>
      <c r="D228" s="139"/>
      <c r="E228" s="150"/>
      <c r="F228" s="153"/>
      <c r="G228" s="139"/>
      <c r="H228" s="139"/>
      <c r="I228" s="139"/>
      <c r="J228" s="139"/>
      <c r="K228" s="139"/>
    </row>
    <row r="229" spans="1:11" ht="20.25">
      <c r="A229" s="139"/>
      <c r="B229" s="139"/>
      <c r="C229" s="139"/>
      <c r="D229" s="139"/>
      <c r="E229" s="150"/>
      <c r="F229" s="153"/>
      <c r="G229" s="139"/>
      <c r="H229" s="139"/>
      <c r="I229" s="139"/>
      <c r="J229" s="139"/>
      <c r="K229" s="139"/>
    </row>
    <row r="230" spans="1:11" ht="20.25">
      <c r="A230" s="139"/>
      <c r="B230" s="139"/>
      <c r="C230" s="139"/>
      <c r="D230" s="139"/>
      <c r="E230" s="150"/>
      <c r="F230" s="153"/>
      <c r="G230" s="139"/>
      <c r="H230" s="139"/>
      <c r="I230" s="139"/>
      <c r="J230" s="139"/>
      <c r="K230" s="139"/>
    </row>
    <row r="231" spans="1:11" ht="20.25">
      <c r="A231" s="139"/>
      <c r="B231" s="139"/>
      <c r="C231" s="139"/>
      <c r="D231" s="139"/>
      <c r="E231" s="150"/>
      <c r="F231" s="153"/>
      <c r="G231" s="139"/>
      <c r="H231" s="139"/>
      <c r="I231" s="139"/>
      <c r="J231" s="139"/>
      <c r="K231" s="139"/>
    </row>
    <row r="232" spans="1:11" ht="20.25">
      <c r="A232" s="139"/>
      <c r="B232" s="139"/>
      <c r="C232" s="139"/>
      <c r="D232" s="139"/>
      <c r="E232" s="150"/>
      <c r="F232" s="153"/>
      <c r="G232" s="139"/>
      <c r="H232" s="139"/>
      <c r="I232" s="139"/>
      <c r="J232" s="139"/>
      <c r="K232" s="139"/>
    </row>
    <row r="233" spans="1:11" ht="20.25">
      <c r="A233" s="139"/>
      <c r="B233" s="139"/>
      <c r="C233" s="139"/>
      <c r="D233" s="139"/>
      <c r="E233" s="150"/>
      <c r="F233" s="153"/>
      <c r="G233" s="139"/>
      <c r="H233" s="139"/>
      <c r="I233" s="139"/>
      <c r="J233" s="139"/>
      <c r="K233" s="139"/>
    </row>
    <row r="234" spans="1:11" ht="20.25">
      <c r="A234" s="139"/>
      <c r="B234" s="139"/>
      <c r="C234" s="139"/>
      <c r="D234" s="139"/>
      <c r="E234" s="150"/>
      <c r="F234" s="153"/>
      <c r="G234" s="139"/>
      <c r="H234" s="139"/>
      <c r="I234" s="139"/>
      <c r="J234" s="139"/>
      <c r="K234" s="139"/>
    </row>
    <row r="235" spans="1:11" ht="20.25">
      <c r="A235" s="139"/>
      <c r="B235" s="139"/>
      <c r="C235" s="139"/>
      <c r="D235" s="139"/>
      <c r="E235" s="150"/>
      <c r="F235" s="153"/>
      <c r="G235" s="139"/>
      <c r="H235" s="139"/>
      <c r="I235" s="139"/>
      <c r="J235" s="139"/>
      <c r="K235" s="139"/>
    </row>
    <row r="236" spans="1:11" ht="20.25">
      <c r="A236" s="139"/>
      <c r="B236" s="139"/>
      <c r="C236" s="139"/>
      <c r="D236" s="139"/>
      <c r="E236" s="150"/>
      <c r="F236" s="153"/>
      <c r="G236" s="139"/>
      <c r="H236" s="139"/>
      <c r="I236" s="139"/>
      <c r="J236" s="139"/>
      <c r="K236" s="139"/>
    </row>
    <row r="237" spans="1:11" ht="20.25">
      <c r="A237" s="139"/>
      <c r="B237" s="139"/>
      <c r="C237" s="139"/>
      <c r="D237" s="139"/>
      <c r="E237" s="150"/>
      <c r="F237" s="153"/>
      <c r="G237" s="139"/>
      <c r="H237" s="139"/>
      <c r="I237" s="139"/>
      <c r="J237" s="139"/>
      <c r="K237" s="139"/>
    </row>
    <row r="238" spans="1:11" ht="20.25">
      <c r="A238" s="139"/>
      <c r="B238" s="139"/>
      <c r="C238" s="139"/>
      <c r="D238" s="139"/>
      <c r="E238" s="150"/>
      <c r="F238" s="153"/>
      <c r="G238" s="139"/>
      <c r="H238" s="139"/>
      <c r="I238" s="139"/>
      <c r="J238" s="139"/>
      <c r="K238" s="139"/>
    </row>
    <row r="239" spans="1:11" ht="20.25">
      <c r="A239" s="139"/>
      <c r="B239" s="139"/>
      <c r="C239" s="139"/>
      <c r="D239" s="139"/>
      <c r="E239" s="150"/>
      <c r="F239" s="153"/>
      <c r="G239" s="139"/>
      <c r="H239" s="139"/>
      <c r="I239" s="139"/>
      <c r="J239" s="139"/>
      <c r="K239" s="139"/>
    </row>
    <row r="240" spans="1:11" ht="20.25">
      <c r="A240" s="139"/>
      <c r="B240" s="139"/>
      <c r="C240" s="139"/>
      <c r="D240" s="139"/>
      <c r="E240" s="150"/>
      <c r="F240" s="153"/>
      <c r="G240" s="139"/>
      <c r="H240" s="139"/>
      <c r="I240" s="139"/>
      <c r="J240" s="139"/>
      <c r="K240" s="139"/>
    </row>
    <row r="241" spans="1:11" ht="20.25">
      <c r="A241" s="139"/>
      <c r="B241" s="139"/>
      <c r="C241" s="139"/>
      <c r="D241" s="139"/>
      <c r="E241" s="150"/>
      <c r="F241" s="153"/>
      <c r="G241" s="139"/>
      <c r="H241" s="139"/>
      <c r="I241" s="139"/>
      <c r="J241" s="139"/>
      <c r="K241" s="139"/>
    </row>
    <row r="242" spans="1:11" ht="20.25">
      <c r="A242" s="139"/>
      <c r="B242" s="139"/>
      <c r="C242" s="139"/>
      <c r="D242" s="139"/>
      <c r="E242" s="150"/>
      <c r="F242" s="153"/>
      <c r="G242" s="139"/>
      <c r="H242" s="139"/>
      <c r="I242" s="139"/>
      <c r="J242" s="139"/>
      <c r="K242" s="139"/>
    </row>
    <row r="243" spans="1:11" ht="20.25">
      <c r="A243" s="139"/>
      <c r="B243" s="139"/>
      <c r="C243" s="139"/>
      <c r="D243" s="139"/>
      <c r="E243" s="150"/>
      <c r="F243" s="153"/>
      <c r="G243" s="139"/>
      <c r="H243" s="139"/>
      <c r="I243" s="139"/>
      <c r="J243" s="139"/>
      <c r="K243" s="139"/>
    </row>
    <row r="244" spans="1:11" ht="20.25">
      <c r="A244" s="139"/>
      <c r="B244" s="139"/>
      <c r="C244" s="139"/>
      <c r="D244" s="139"/>
      <c r="E244" s="150"/>
      <c r="F244" s="153"/>
      <c r="G244" s="139"/>
      <c r="H244" s="139"/>
      <c r="I244" s="139"/>
      <c r="J244" s="139"/>
      <c r="K244" s="139"/>
    </row>
    <row r="245" spans="1:11" ht="20.25">
      <c r="A245" s="139"/>
      <c r="B245" s="139"/>
      <c r="C245" s="139"/>
      <c r="D245" s="139"/>
      <c r="E245" s="150"/>
      <c r="F245" s="153"/>
      <c r="G245" s="139"/>
      <c r="H245" s="139"/>
      <c r="I245" s="139"/>
      <c r="J245" s="139"/>
      <c r="K245" s="139"/>
    </row>
    <row r="246" spans="1:11" ht="20.25">
      <c r="A246" s="139"/>
      <c r="B246" s="139"/>
      <c r="C246" s="139"/>
      <c r="D246" s="139"/>
      <c r="E246" s="150"/>
      <c r="F246" s="153"/>
      <c r="G246" s="139"/>
      <c r="H246" s="139"/>
      <c r="I246" s="139"/>
      <c r="J246" s="139"/>
      <c r="K246" s="139"/>
    </row>
    <row r="247" spans="1:11" ht="20.25">
      <c r="A247" s="139"/>
      <c r="B247" s="139"/>
      <c r="C247" s="139"/>
      <c r="D247" s="139"/>
      <c r="E247" s="150"/>
      <c r="F247" s="153"/>
      <c r="G247" s="139"/>
      <c r="H247" s="139"/>
      <c r="I247" s="139"/>
      <c r="J247" s="139"/>
      <c r="K247" s="139"/>
    </row>
    <row r="248" spans="1:11" ht="20.25">
      <c r="A248" s="139"/>
      <c r="B248" s="139"/>
      <c r="C248" s="139"/>
      <c r="D248" s="139"/>
      <c r="E248" s="150"/>
      <c r="F248" s="153"/>
      <c r="G248" s="139"/>
      <c r="H248" s="139"/>
      <c r="I248" s="139"/>
      <c r="J248" s="139"/>
      <c r="K248" s="139"/>
    </row>
    <row r="249" spans="1:11" ht="20.25">
      <c r="A249" s="139"/>
      <c r="B249" s="139"/>
      <c r="C249" s="139"/>
      <c r="D249" s="139"/>
      <c r="E249" s="150"/>
      <c r="F249" s="153"/>
      <c r="G249" s="139"/>
      <c r="H249" s="139"/>
      <c r="I249" s="139"/>
      <c r="J249" s="139"/>
      <c r="K249" s="139"/>
    </row>
    <row r="250" spans="1:11" ht="20.25">
      <c r="A250" s="139"/>
      <c r="B250" s="139"/>
      <c r="C250" s="139"/>
      <c r="D250" s="139"/>
      <c r="E250" s="150"/>
      <c r="F250" s="153"/>
      <c r="G250" s="139"/>
      <c r="H250" s="139"/>
      <c r="I250" s="139"/>
      <c r="J250" s="139"/>
      <c r="K250" s="139"/>
    </row>
    <row r="251" spans="1:11" ht="20.25">
      <c r="A251" s="139"/>
      <c r="B251" s="139"/>
      <c r="C251" s="139"/>
      <c r="D251" s="139"/>
      <c r="E251" s="150"/>
      <c r="F251" s="153"/>
      <c r="G251" s="139"/>
      <c r="H251" s="139"/>
      <c r="I251" s="139"/>
      <c r="J251" s="139"/>
      <c r="K251" s="139"/>
    </row>
    <row r="252" spans="1:11" ht="20.25">
      <c r="A252" s="139"/>
      <c r="B252" s="139"/>
      <c r="C252" s="139"/>
      <c r="D252" s="139"/>
      <c r="E252" s="150"/>
      <c r="F252" s="153"/>
      <c r="G252" s="139"/>
      <c r="H252" s="139"/>
      <c r="I252" s="139"/>
      <c r="J252" s="139"/>
      <c r="K252" s="139"/>
    </row>
    <row r="253" spans="1:11" ht="20.25">
      <c r="A253" s="139"/>
      <c r="B253" s="139"/>
      <c r="C253" s="139"/>
      <c r="D253" s="139"/>
      <c r="E253" s="150"/>
      <c r="F253" s="153"/>
      <c r="G253" s="139"/>
      <c r="H253" s="139"/>
      <c r="I253" s="139"/>
      <c r="J253" s="139"/>
      <c r="K253" s="139"/>
    </row>
    <row r="254" spans="1:11" ht="20.25">
      <c r="A254" s="139"/>
      <c r="B254" s="139"/>
      <c r="C254" s="139"/>
      <c r="D254" s="139"/>
      <c r="E254" s="150"/>
      <c r="F254" s="153"/>
      <c r="G254" s="139"/>
      <c r="H254" s="139"/>
      <c r="I254" s="139"/>
      <c r="J254" s="139"/>
      <c r="K254" s="139"/>
    </row>
    <row r="255" spans="1:11" ht="20.25">
      <c r="A255" s="139"/>
      <c r="B255" s="139"/>
      <c r="C255" s="139"/>
      <c r="D255" s="139"/>
      <c r="E255" s="150"/>
      <c r="F255" s="153"/>
      <c r="G255" s="139"/>
      <c r="H255" s="139"/>
      <c r="I255" s="139"/>
      <c r="J255" s="139"/>
      <c r="K255" s="139"/>
    </row>
    <row r="256" spans="1:11" ht="20.25">
      <c r="A256" s="139"/>
      <c r="B256" s="139"/>
      <c r="C256" s="139"/>
      <c r="D256" s="139"/>
      <c r="E256" s="150"/>
      <c r="F256" s="153"/>
      <c r="G256" s="139"/>
      <c r="H256" s="139"/>
      <c r="I256" s="139"/>
      <c r="J256" s="139"/>
      <c r="K256" s="139"/>
    </row>
    <row r="257" spans="1:11" ht="20.25">
      <c r="A257" s="139"/>
      <c r="B257" s="139"/>
      <c r="C257" s="139"/>
      <c r="D257" s="139"/>
      <c r="E257" s="150"/>
      <c r="F257" s="153"/>
      <c r="G257" s="139"/>
      <c r="H257" s="139"/>
      <c r="I257" s="139"/>
      <c r="J257" s="139"/>
      <c r="K257" s="139"/>
    </row>
    <row r="258" spans="1:11" ht="20.25">
      <c r="A258" s="139"/>
      <c r="B258" s="139"/>
      <c r="C258" s="139"/>
      <c r="D258" s="139"/>
      <c r="E258" s="150"/>
      <c r="F258" s="153"/>
      <c r="G258" s="139"/>
      <c r="H258" s="139"/>
      <c r="I258" s="139"/>
      <c r="J258" s="139"/>
      <c r="K258" s="139"/>
    </row>
    <row r="259" spans="1:11" ht="20.25">
      <c r="A259" s="139"/>
      <c r="B259" s="139"/>
      <c r="C259" s="139"/>
      <c r="D259" s="139"/>
      <c r="E259" s="150"/>
      <c r="F259" s="153"/>
      <c r="G259" s="139"/>
      <c r="H259" s="139"/>
      <c r="I259" s="139"/>
      <c r="J259" s="139"/>
      <c r="K259" s="139"/>
    </row>
    <row r="260" spans="1:11" ht="20.25">
      <c r="A260" s="139"/>
      <c r="B260" s="139"/>
      <c r="C260" s="139"/>
      <c r="D260" s="139"/>
      <c r="E260" s="150"/>
      <c r="F260" s="153"/>
      <c r="G260" s="139"/>
      <c r="H260" s="139"/>
      <c r="I260" s="139"/>
      <c r="J260" s="139"/>
      <c r="K260" s="139"/>
    </row>
    <row r="261" spans="1:11" ht="20.25">
      <c r="A261" s="139"/>
      <c r="B261" s="139"/>
      <c r="C261" s="139"/>
      <c r="D261" s="139"/>
      <c r="E261" s="150"/>
      <c r="F261" s="153"/>
      <c r="G261" s="139"/>
      <c r="H261" s="139"/>
      <c r="I261" s="139"/>
      <c r="J261" s="139"/>
      <c r="K261" s="139"/>
    </row>
    <row r="262" spans="1:11" ht="20.25">
      <c r="A262" s="139"/>
      <c r="B262" s="139"/>
      <c r="C262" s="139"/>
      <c r="D262" s="139"/>
      <c r="E262" s="150"/>
      <c r="F262" s="153"/>
      <c r="G262" s="139"/>
      <c r="H262" s="139"/>
      <c r="I262" s="139"/>
      <c r="J262" s="139"/>
      <c r="K262" s="139"/>
    </row>
    <row r="263" spans="1:11" ht="20.25">
      <c r="A263" s="139"/>
      <c r="B263" s="139"/>
      <c r="C263" s="139"/>
      <c r="D263" s="139"/>
      <c r="E263" s="150"/>
      <c r="F263" s="153"/>
      <c r="G263" s="139"/>
      <c r="H263" s="139"/>
      <c r="I263" s="139"/>
      <c r="J263" s="139"/>
      <c r="K263" s="139"/>
    </row>
    <row r="264" spans="1:11" ht="20.25">
      <c r="A264" s="139"/>
      <c r="B264" s="139"/>
      <c r="C264" s="139"/>
      <c r="D264" s="139"/>
      <c r="E264" s="150"/>
      <c r="F264" s="153"/>
      <c r="G264" s="139"/>
      <c r="H264" s="139"/>
      <c r="I264" s="139"/>
      <c r="J264" s="139"/>
      <c r="K264" s="139"/>
    </row>
    <row r="265" spans="1:11" ht="20.25">
      <c r="A265" s="139"/>
      <c r="B265" s="139"/>
      <c r="C265" s="139"/>
      <c r="D265" s="139"/>
      <c r="E265" s="150"/>
      <c r="F265" s="153"/>
      <c r="G265" s="139"/>
      <c r="H265" s="139"/>
      <c r="I265" s="139"/>
      <c r="J265" s="139"/>
      <c r="K265" s="139"/>
    </row>
    <row r="266" spans="1:11" ht="20.25">
      <c r="A266" s="139"/>
      <c r="B266" s="139"/>
      <c r="C266" s="139"/>
      <c r="D266" s="139"/>
      <c r="E266" s="150"/>
      <c r="F266" s="153"/>
      <c r="G266" s="139"/>
      <c r="H266" s="139"/>
      <c r="I266" s="139"/>
      <c r="J266" s="139"/>
      <c r="K266" s="139"/>
    </row>
    <row r="267" spans="1:11" ht="20.25">
      <c r="A267" s="139"/>
      <c r="B267" s="139"/>
      <c r="C267" s="139"/>
      <c r="D267" s="139"/>
      <c r="E267" s="150"/>
      <c r="F267" s="153"/>
      <c r="G267" s="139"/>
      <c r="H267" s="139"/>
      <c r="I267" s="139"/>
      <c r="J267" s="139"/>
      <c r="K267" s="139"/>
    </row>
    <row r="268" spans="1:11" ht="20.25">
      <c r="A268" s="139"/>
      <c r="B268" s="139"/>
      <c r="C268" s="139"/>
      <c r="D268" s="139"/>
      <c r="E268" s="150"/>
      <c r="F268" s="153"/>
      <c r="G268" s="139"/>
      <c r="H268" s="139"/>
      <c r="I268" s="139"/>
      <c r="J268" s="139"/>
      <c r="K268" s="139"/>
    </row>
    <row r="269" spans="1:11" ht="20.25">
      <c r="A269" s="139"/>
      <c r="B269" s="139"/>
      <c r="C269" s="139"/>
      <c r="D269" s="139"/>
      <c r="E269" s="150"/>
      <c r="F269" s="153"/>
      <c r="G269" s="139"/>
      <c r="H269" s="139"/>
      <c r="I269" s="139"/>
      <c r="J269" s="139"/>
      <c r="K269" s="139"/>
    </row>
    <row r="270" spans="1:11" ht="20.25">
      <c r="A270" s="139"/>
      <c r="B270" s="139"/>
      <c r="C270" s="139"/>
      <c r="D270" s="139"/>
      <c r="E270" s="150"/>
      <c r="F270" s="153"/>
      <c r="G270" s="139"/>
      <c r="H270" s="139"/>
      <c r="I270" s="139"/>
      <c r="J270" s="139"/>
      <c r="K270" s="139"/>
    </row>
    <row r="271" spans="1:11" ht="20.25">
      <c r="A271" s="139"/>
      <c r="B271" s="139"/>
      <c r="C271" s="139"/>
      <c r="D271" s="139"/>
      <c r="E271" s="150"/>
      <c r="F271" s="153"/>
      <c r="G271" s="139"/>
      <c r="H271" s="139"/>
      <c r="I271" s="139"/>
      <c r="J271" s="139"/>
      <c r="K271" s="139"/>
    </row>
    <row r="272" spans="1:11" ht="20.25">
      <c r="A272" s="139"/>
      <c r="B272" s="139"/>
      <c r="C272" s="139"/>
      <c r="D272" s="139"/>
      <c r="E272" s="150"/>
      <c r="F272" s="153"/>
      <c r="G272" s="139"/>
      <c r="H272" s="139"/>
      <c r="I272" s="139"/>
      <c r="J272" s="139"/>
      <c r="K272" s="139"/>
    </row>
    <row r="273" spans="1:11" ht="20.25">
      <c r="A273" s="139"/>
      <c r="B273" s="139"/>
      <c r="C273" s="139"/>
      <c r="D273" s="139"/>
      <c r="E273" s="150"/>
      <c r="F273" s="153"/>
      <c r="G273" s="139"/>
      <c r="H273" s="139"/>
      <c r="I273" s="139"/>
      <c r="J273" s="139"/>
      <c r="K273" s="139"/>
    </row>
    <row r="274" spans="1:11" ht="20.25">
      <c r="A274" s="139"/>
      <c r="B274" s="139"/>
      <c r="C274" s="139"/>
      <c r="D274" s="139"/>
      <c r="E274" s="150"/>
      <c r="F274" s="153"/>
      <c r="G274" s="139"/>
      <c r="H274" s="139"/>
      <c r="I274" s="139"/>
      <c r="J274" s="139"/>
      <c r="K274" s="139"/>
    </row>
    <row r="275" spans="1:11" ht="20.25">
      <c r="A275" s="139"/>
      <c r="B275" s="139"/>
      <c r="C275" s="139"/>
      <c r="D275" s="139"/>
      <c r="E275" s="150"/>
      <c r="F275" s="153"/>
      <c r="G275" s="139"/>
      <c r="H275" s="139"/>
      <c r="I275" s="139"/>
      <c r="J275" s="139"/>
      <c r="K275" s="139"/>
    </row>
    <row r="276" spans="1:11" ht="20.25">
      <c r="A276" s="139"/>
      <c r="B276" s="139"/>
      <c r="C276" s="139"/>
      <c r="D276" s="139"/>
      <c r="E276" s="150"/>
      <c r="F276" s="153"/>
      <c r="G276" s="139"/>
      <c r="H276" s="139"/>
      <c r="I276" s="139"/>
      <c r="J276" s="139"/>
      <c r="K276" s="139"/>
    </row>
    <row r="277" spans="1:11" ht="20.25">
      <c r="A277" s="139"/>
      <c r="B277" s="139"/>
      <c r="C277" s="139"/>
      <c r="D277" s="139"/>
      <c r="E277" s="150"/>
      <c r="F277" s="153"/>
      <c r="G277" s="139"/>
      <c r="H277" s="139"/>
      <c r="I277" s="139"/>
      <c r="J277" s="139"/>
      <c r="K277" s="139"/>
    </row>
    <row r="278" spans="1:11" ht="20.25">
      <c r="A278" s="139"/>
      <c r="B278" s="139"/>
      <c r="C278" s="139"/>
      <c r="D278" s="139"/>
      <c r="E278" s="150"/>
      <c r="F278" s="153"/>
      <c r="G278" s="139"/>
      <c r="H278" s="139"/>
      <c r="I278" s="139"/>
      <c r="J278" s="139"/>
      <c r="K278" s="139"/>
    </row>
    <row r="279" spans="1:11" ht="20.25">
      <c r="A279" s="139"/>
      <c r="B279" s="139"/>
      <c r="C279" s="139"/>
      <c r="D279" s="139"/>
      <c r="E279" s="150"/>
      <c r="F279" s="153"/>
      <c r="G279" s="139"/>
      <c r="H279" s="139"/>
      <c r="I279" s="139"/>
      <c r="J279" s="139"/>
      <c r="K279" s="139"/>
    </row>
    <row r="280" spans="1:11" ht="20.25">
      <c r="A280" s="139"/>
      <c r="B280" s="139"/>
      <c r="C280" s="139"/>
      <c r="D280" s="139"/>
      <c r="E280" s="150"/>
      <c r="F280" s="153"/>
      <c r="G280" s="139"/>
      <c r="H280" s="139"/>
      <c r="I280" s="139"/>
      <c r="J280" s="139"/>
      <c r="K280" s="139"/>
    </row>
    <row r="281" spans="1:11" ht="20.25">
      <c r="A281" s="139"/>
      <c r="B281" s="139"/>
      <c r="C281" s="139"/>
      <c r="D281" s="139"/>
      <c r="E281" s="150"/>
      <c r="F281" s="153"/>
      <c r="G281" s="139"/>
      <c r="H281" s="139"/>
      <c r="I281" s="139"/>
      <c r="J281" s="139"/>
      <c r="K281" s="139"/>
    </row>
    <row r="282" spans="1:11" ht="20.25">
      <c r="A282" s="139"/>
      <c r="B282" s="139"/>
      <c r="C282" s="139"/>
      <c r="D282" s="139"/>
      <c r="E282" s="150"/>
      <c r="F282" s="153"/>
      <c r="G282" s="139"/>
      <c r="H282" s="139"/>
      <c r="I282" s="139"/>
      <c r="J282" s="139"/>
      <c r="K282" s="139"/>
    </row>
    <row r="283" spans="1:11" ht="20.25">
      <c r="A283" s="139"/>
      <c r="B283" s="139"/>
      <c r="C283" s="139"/>
      <c r="D283" s="139"/>
      <c r="E283" s="150"/>
      <c r="F283" s="153"/>
      <c r="G283" s="139"/>
      <c r="H283" s="139"/>
      <c r="I283" s="139"/>
      <c r="J283" s="139"/>
      <c r="K283" s="139"/>
    </row>
    <row r="284" spans="1:11" ht="20.25">
      <c r="A284" s="139"/>
      <c r="B284" s="139"/>
      <c r="C284" s="139"/>
      <c r="D284" s="139"/>
      <c r="E284" s="150"/>
      <c r="F284" s="153"/>
      <c r="G284" s="139"/>
      <c r="H284" s="139"/>
      <c r="I284" s="139"/>
      <c r="J284" s="139"/>
      <c r="K284" s="139"/>
    </row>
    <row r="285" spans="1:11" ht="20.25">
      <c r="A285" s="139"/>
      <c r="B285" s="139"/>
      <c r="C285" s="139"/>
      <c r="D285" s="139"/>
      <c r="E285" s="150"/>
      <c r="F285" s="153"/>
      <c r="G285" s="139"/>
      <c r="H285" s="139"/>
      <c r="I285" s="139"/>
      <c r="J285" s="139"/>
      <c r="K285" s="139"/>
    </row>
    <row r="286" spans="1:11" ht="20.25">
      <c r="A286" s="139"/>
      <c r="B286" s="139"/>
      <c r="C286" s="139"/>
      <c r="D286" s="139"/>
      <c r="E286" s="150"/>
      <c r="F286" s="153"/>
      <c r="G286" s="139"/>
      <c r="H286" s="139"/>
      <c r="I286" s="139"/>
      <c r="J286" s="139"/>
      <c r="K286" s="139"/>
    </row>
    <row r="287" spans="1:11" ht="20.25">
      <c r="A287" s="139"/>
      <c r="B287" s="139"/>
      <c r="C287" s="139"/>
      <c r="D287" s="139"/>
      <c r="E287" s="150"/>
      <c r="F287" s="153"/>
      <c r="G287" s="139"/>
      <c r="H287" s="139"/>
      <c r="I287" s="139"/>
      <c r="J287" s="139"/>
      <c r="K287" s="139"/>
    </row>
    <row r="288" spans="1:11" ht="20.25">
      <c r="A288" s="139"/>
      <c r="B288" s="139"/>
      <c r="C288" s="139"/>
      <c r="D288" s="139"/>
      <c r="E288" s="150"/>
      <c r="F288" s="153"/>
      <c r="G288" s="139"/>
      <c r="H288" s="139"/>
      <c r="I288" s="139"/>
      <c r="J288" s="139"/>
      <c r="K288" s="139"/>
    </row>
    <row r="289" spans="1:11" ht="20.25">
      <c r="A289" s="139"/>
      <c r="B289" s="139"/>
      <c r="C289" s="139"/>
      <c r="D289" s="139"/>
      <c r="E289" s="150"/>
      <c r="F289" s="153"/>
      <c r="G289" s="139"/>
      <c r="H289" s="139"/>
      <c r="I289" s="139"/>
      <c r="J289" s="139"/>
      <c r="K289" s="139"/>
    </row>
    <row r="290" spans="1:11" ht="20.25">
      <c r="A290" s="139"/>
      <c r="B290" s="139"/>
      <c r="C290" s="139"/>
      <c r="D290" s="139"/>
      <c r="E290" s="150"/>
      <c r="F290" s="153"/>
      <c r="G290" s="139"/>
      <c r="H290" s="139"/>
      <c r="I290" s="139"/>
      <c r="J290" s="139"/>
      <c r="K290" s="139"/>
    </row>
    <row r="291" spans="1:11" ht="20.25">
      <c r="A291" s="139"/>
      <c r="B291" s="139"/>
      <c r="C291" s="139"/>
      <c r="D291" s="139"/>
      <c r="E291" s="150"/>
      <c r="F291" s="153"/>
      <c r="G291" s="139"/>
      <c r="H291" s="139"/>
      <c r="I291" s="139"/>
      <c r="J291" s="139"/>
      <c r="K291" s="139"/>
    </row>
    <row r="292" spans="1:11" ht="20.25">
      <c r="A292" s="139"/>
      <c r="B292" s="139"/>
      <c r="C292" s="139"/>
      <c r="D292" s="139"/>
      <c r="E292" s="150"/>
      <c r="F292" s="153"/>
      <c r="G292" s="139"/>
      <c r="H292" s="139"/>
      <c r="I292" s="139"/>
      <c r="J292" s="139"/>
      <c r="K292" s="139"/>
    </row>
    <row r="293" spans="1:11" ht="20.25">
      <c r="A293" s="139"/>
      <c r="B293" s="139"/>
      <c r="C293" s="139"/>
      <c r="D293" s="139"/>
      <c r="E293" s="150"/>
      <c r="F293" s="153"/>
      <c r="G293" s="139"/>
      <c r="H293" s="139"/>
      <c r="I293" s="139"/>
      <c r="J293" s="139"/>
      <c r="K293" s="139"/>
    </row>
    <row r="294" spans="1:11" ht="20.25">
      <c r="A294" s="139"/>
      <c r="B294" s="139"/>
      <c r="C294" s="139"/>
      <c r="D294" s="139"/>
      <c r="E294" s="150"/>
      <c r="F294" s="153"/>
      <c r="G294" s="139"/>
      <c r="H294" s="139"/>
      <c r="I294" s="139"/>
      <c r="J294" s="139"/>
      <c r="K294" s="139"/>
    </row>
    <row r="295" spans="1:11" ht="20.25">
      <c r="A295" s="139"/>
      <c r="B295" s="139"/>
      <c r="C295" s="139"/>
      <c r="D295" s="139"/>
      <c r="E295" s="150"/>
      <c r="F295" s="153"/>
      <c r="G295" s="139"/>
      <c r="H295" s="139"/>
      <c r="I295" s="139"/>
      <c r="J295" s="139"/>
      <c r="K295" s="139"/>
    </row>
    <row r="296" spans="1:11" ht="20.25">
      <c r="A296" s="139"/>
      <c r="B296" s="139"/>
      <c r="C296" s="139"/>
      <c r="D296" s="139"/>
      <c r="E296" s="150"/>
      <c r="F296" s="153"/>
      <c r="G296" s="139"/>
      <c r="H296" s="139"/>
      <c r="I296" s="139"/>
      <c r="J296" s="139"/>
      <c r="K296" s="139"/>
    </row>
    <row r="297" spans="1:11" ht="20.25">
      <c r="A297" s="139"/>
      <c r="B297" s="139"/>
      <c r="C297" s="139"/>
      <c r="D297" s="139"/>
      <c r="E297" s="150"/>
      <c r="F297" s="153"/>
      <c r="G297" s="139"/>
      <c r="H297" s="139"/>
      <c r="I297" s="139"/>
      <c r="J297" s="139"/>
      <c r="K297" s="139"/>
    </row>
    <row r="298" spans="1:11" ht="20.25">
      <c r="A298" s="139"/>
      <c r="B298" s="139"/>
      <c r="C298" s="139"/>
      <c r="D298" s="139"/>
      <c r="E298" s="150"/>
      <c r="F298" s="153"/>
      <c r="G298" s="139"/>
      <c r="H298" s="139"/>
      <c r="I298" s="139"/>
      <c r="J298" s="139"/>
      <c r="K298" s="139"/>
    </row>
    <row r="299" spans="1:11" ht="20.25">
      <c r="A299" s="139"/>
      <c r="B299" s="139"/>
      <c r="C299" s="139"/>
      <c r="D299" s="139"/>
      <c r="E299" s="150"/>
      <c r="F299" s="153"/>
      <c r="G299" s="139"/>
      <c r="H299" s="139"/>
      <c r="I299" s="139"/>
      <c r="J299" s="139"/>
      <c r="K299" s="139"/>
    </row>
    <row r="300" spans="1:11" ht="20.25">
      <c r="A300" s="139"/>
      <c r="B300" s="139"/>
      <c r="C300" s="139"/>
      <c r="D300" s="139"/>
      <c r="E300" s="150"/>
      <c r="F300" s="153"/>
      <c r="G300" s="139"/>
      <c r="H300" s="139"/>
      <c r="I300" s="139"/>
      <c r="J300" s="139"/>
      <c r="K300" s="139"/>
    </row>
    <row r="301" spans="1:11" ht="20.25">
      <c r="A301" s="139"/>
      <c r="B301" s="139"/>
      <c r="C301" s="139"/>
      <c r="D301" s="139"/>
      <c r="E301" s="150"/>
      <c r="F301" s="153"/>
      <c r="G301" s="139"/>
      <c r="H301" s="139"/>
      <c r="I301" s="139"/>
      <c r="J301" s="139"/>
      <c r="K301" s="139"/>
    </row>
    <row r="302" spans="1:11" ht="20.25">
      <c r="A302" s="139"/>
      <c r="B302" s="139"/>
      <c r="C302" s="139"/>
      <c r="D302" s="139"/>
      <c r="E302" s="150"/>
      <c r="F302" s="153"/>
      <c r="G302" s="139"/>
      <c r="H302" s="139"/>
      <c r="I302" s="139"/>
      <c r="J302" s="139"/>
      <c r="K302" s="139"/>
    </row>
    <row r="303" spans="1:11" ht="20.25">
      <c r="A303" s="139"/>
      <c r="B303" s="139"/>
      <c r="C303" s="139"/>
      <c r="D303" s="139"/>
      <c r="E303" s="150"/>
      <c r="F303" s="153"/>
      <c r="G303" s="139"/>
      <c r="H303" s="139"/>
      <c r="I303" s="139"/>
      <c r="J303" s="139"/>
      <c r="K303" s="139"/>
    </row>
    <row r="304" spans="1:11" ht="20.25">
      <c r="A304" s="139"/>
      <c r="B304" s="139"/>
      <c r="C304" s="139"/>
      <c r="D304" s="139"/>
      <c r="E304" s="150"/>
      <c r="F304" s="153"/>
      <c r="G304" s="139"/>
      <c r="H304" s="139"/>
      <c r="I304" s="139"/>
      <c r="J304" s="139"/>
      <c r="K304" s="139"/>
    </row>
    <row r="305" spans="1:11" ht="20.25">
      <c r="A305" s="139"/>
      <c r="B305" s="139"/>
      <c r="C305" s="139"/>
      <c r="D305" s="139"/>
      <c r="E305" s="150"/>
      <c r="F305" s="153"/>
      <c r="G305" s="139"/>
      <c r="H305" s="139"/>
      <c r="I305" s="139"/>
      <c r="J305" s="139"/>
      <c r="K305" s="139"/>
    </row>
    <row r="306" spans="1:11" ht="20.25">
      <c r="A306" s="139"/>
      <c r="B306" s="139"/>
      <c r="C306" s="139"/>
      <c r="D306" s="139"/>
      <c r="E306" s="150"/>
      <c r="F306" s="153"/>
      <c r="G306" s="139"/>
      <c r="H306" s="139"/>
      <c r="I306" s="139"/>
      <c r="J306" s="139"/>
      <c r="K306" s="139"/>
    </row>
    <row r="307" spans="1:11" ht="20.25">
      <c r="A307" s="139"/>
      <c r="B307" s="139"/>
      <c r="C307" s="139"/>
      <c r="D307" s="139"/>
      <c r="E307" s="150"/>
      <c r="F307" s="153"/>
      <c r="G307" s="139"/>
      <c r="H307" s="139"/>
      <c r="I307" s="139"/>
      <c r="J307" s="139"/>
      <c r="K307" s="139"/>
    </row>
    <row r="308" spans="1:11" ht="20.25">
      <c r="A308" s="139"/>
      <c r="B308" s="139"/>
      <c r="C308" s="139"/>
      <c r="D308" s="139"/>
      <c r="E308" s="150"/>
      <c r="F308" s="153"/>
      <c r="G308" s="139"/>
      <c r="H308" s="139"/>
      <c r="I308" s="139"/>
      <c r="J308" s="139"/>
      <c r="K308" s="139"/>
    </row>
    <row r="309" spans="1:11" ht="20.25">
      <c r="A309" s="139"/>
      <c r="B309" s="139"/>
      <c r="C309" s="139"/>
      <c r="D309" s="139"/>
      <c r="E309" s="150"/>
      <c r="F309" s="153"/>
      <c r="G309" s="139"/>
      <c r="H309" s="139"/>
      <c r="I309" s="139"/>
      <c r="J309" s="139"/>
      <c r="K309" s="139"/>
    </row>
    <row r="310" spans="1:11" ht="20.25">
      <c r="A310" s="139"/>
      <c r="B310" s="139"/>
      <c r="C310" s="139"/>
      <c r="D310" s="139"/>
      <c r="E310" s="150"/>
      <c r="F310" s="153"/>
      <c r="G310" s="139"/>
      <c r="H310" s="139"/>
      <c r="I310" s="139"/>
      <c r="J310" s="139"/>
      <c r="K310" s="139"/>
    </row>
    <row r="311" spans="1:11" ht="20.25">
      <c r="A311" s="139"/>
      <c r="B311" s="139"/>
      <c r="C311" s="139"/>
      <c r="D311" s="139"/>
      <c r="E311" s="150"/>
      <c r="F311" s="153"/>
      <c r="G311" s="139"/>
      <c r="H311" s="139"/>
      <c r="I311" s="139"/>
      <c r="J311" s="139"/>
      <c r="K311" s="139"/>
    </row>
    <row r="312" spans="1:11" ht="20.25">
      <c r="A312" s="139"/>
      <c r="B312" s="139"/>
      <c r="C312" s="139"/>
      <c r="D312" s="139"/>
      <c r="E312" s="150"/>
      <c r="F312" s="153"/>
      <c r="G312" s="139"/>
      <c r="H312" s="139"/>
      <c r="I312" s="139"/>
      <c r="J312" s="139"/>
      <c r="K312" s="139"/>
    </row>
    <row r="313" spans="1:11" ht="20.25">
      <c r="A313" s="139"/>
      <c r="B313" s="139"/>
      <c r="C313" s="139"/>
      <c r="D313" s="139"/>
      <c r="E313" s="150"/>
      <c r="F313" s="153"/>
      <c r="G313" s="139"/>
      <c r="H313" s="139"/>
      <c r="I313" s="139"/>
      <c r="J313" s="139"/>
      <c r="K313" s="139"/>
    </row>
    <row r="314" spans="1:11" ht="20.25">
      <c r="A314" s="139"/>
      <c r="B314" s="139"/>
      <c r="C314" s="139"/>
      <c r="D314" s="139"/>
      <c r="E314" s="150"/>
      <c r="F314" s="153"/>
      <c r="G314" s="139"/>
      <c r="H314" s="139"/>
      <c r="I314" s="139"/>
      <c r="J314" s="139"/>
      <c r="K314" s="139"/>
    </row>
    <row r="315" spans="1:11" ht="20.25">
      <c r="A315" s="139"/>
      <c r="B315" s="139"/>
      <c r="C315" s="139"/>
      <c r="D315" s="139"/>
      <c r="E315" s="150"/>
      <c r="F315" s="153"/>
      <c r="G315" s="139"/>
      <c r="H315" s="139"/>
      <c r="I315" s="139"/>
      <c r="J315" s="139"/>
      <c r="K315" s="139"/>
    </row>
    <row r="316" spans="1:11" ht="20.25">
      <c r="A316" s="139"/>
      <c r="B316" s="139"/>
      <c r="C316" s="139"/>
      <c r="D316" s="139"/>
      <c r="E316" s="150"/>
      <c r="F316" s="153"/>
      <c r="G316" s="139"/>
      <c r="H316" s="139"/>
      <c r="I316" s="139"/>
      <c r="J316" s="139"/>
      <c r="K316" s="139"/>
    </row>
    <row r="317" spans="1:11" ht="20.25">
      <c r="A317" s="139"/>
      <c r="B317" s="139"/>
      <c r="C317" s="139"/>
      <c r="D317" s="139"/>
      <c r="E317" s="150"/>
      <c r="F317" s="153"/>
      <c r="G317" s="139"/>
      <c r="H317" s="139"/>
      <c r="I317" s="139"/>
      <c r="J317" s="139"/>
      <c r="K317" s="139"/>
    </row>
    <row r="318" spans="1:11" ht="20.25">
      <c r="A318" s="139"/>
      <c r="B318" s="139"/>
      <c r="C318" s="139"/>
      <c r="D318" s="139"/>
      <c r="E318" s="150"/>
      <c r="F318" s="153"/>
      <c r="G318" s="139"/>
      <c r="H318" s="139"/>
      <c r="I318" s="139"/>
      <c r="J318" s="139"/>
      <c r="K318" s="139"/>
    </row>
    <row r="319" spans="1:11" ht="20.25">
      <c r="A319" s="139"/>
      <c r="B319" s="139"/>
      <c r="C319" s="139"/>
      <c r="D319" s="139"/>
      <c r="E319" s="150"/>
      <c r="F319" s="153"/>
      <c r="G319" s="139"/>
      <c r="H319" s="139"/>
      <c r="I319" s="139"/>
      <c r="J319" s="139"/>
      <c r="K319" s="139"/>
    </row>
    <row r="320" spans="1:11" ht="20.25">
      <c r="A320" s="139"/>
      <c r="B320" s="139"/>
      <c r="C320" s="139"/>
      <c r="D320" s="139"/>
      <c r="E320" s="150"/>
      <c r="F320" s="153"/>
      <c r="G320" s="139"/>
      <c r="H320" s="139"/>
      <c r="I320" s="139"/>
      <c r="J320" s="139"/>
      <c r="K320" s="139"/>
    </row>
    <row r="321" spans="1:11" ht="20.25">
      <c r="A321" s="139"/>
      <c r="B321" s="139"/>
      <c r="C321" s="139"/>
      <c r="D321" s="139"/>
      <c r="E321" s="150"/>
      <c r="F321" s="153"/>
      <c r="G321" s="139"/>
      <c r="H321" s="139"/>
      <c r="I321" s="139"/>
      <c r="J321" s="139"/>
      <c r="K321" s="139"/>
    </row>
    <row r="322" spans="1:11" ht="20.25">
      <c r="A322" s="139"/>
      <c r="B322" s="139"/>
      <c r="C322" s="139"/>
      <c r="D322" s="139"/>
      <c r="E322" s="150"/>
      <c r="F322" s="153"/>
      <c r="G322" s="139"/>
      <c r="H322" s="139"/>
      <c r="I322" s="139"/>
      <c r="J322" s="139"/>
      <c r="K322" s="139"/>
    </row>
    <row r="323" spans="1:11" ht="20.25">
      <c r="A323" s="139"/>
      <c r="B323" s="139"/>
      <c r="C323" s="139"/>
      <c r="D323" s="139"/>
      <c r="E323" s="150"/>
      <c r="F323" s="153"/>
      <c r="G323" s="139"/>
      <c r="H323" s="139"/>
      <c r="I323" s="139"/>
      <c r="J323" s="139"/>
      <c r="K323" s="139"/>
    </row>
    <row r="324" spans="1:11" ht="20.25">
      <c r="A324" s="139"/>
      <c r="B324" s="139"/>
      <c r="C324" s="139"/>
      <c r="D324" s="139"/>
      <c r="E324" s="150"/>
      <c r="F324" s="153"/>
      <c r="G324" s="139"/>
      <c r="H324" s="139"/>
      <c r="I324" s="139"/>
      <c r="J324" s="139"/>
      <c r="K324" s="139"/>
    </row>
    <row r="325" spans="1:11" ht="20.25">
      <c r="A325" s="139"/>
      <c r="B325" s="139"/>
      <c r="C325" s="139"/>
      <c r="D325" s="139"/>
      <c r="E325" s="150"/>
      <c r="F325" s="153"/>
      <c r="G325" s="139"/>
      <c r="H325" s="139"/>
      <c r="I325" s="139"/>
      <c r="J325" s="139"/>
      <c r="K325" s="139"/>
    </row>
    <row r="326" spans="1:11" ht="20.25">
      <c r="A326" s="139"/>
      <c r="B326" s="139"/>
      <c r="C326" s="139"/>
      <c r="D326" s="139"/>
      <c r="E326" s="150"/>
      <c r="F326" s="153"/>
      <c r="G326" s="139"/>
      <c r="H326" s="139"/>
      <c r="I326" s="139"/>
      <c r="J326" s="139"/>
      <c r="K326" s="139"/>
    </row>
    <row r="327" spans="1:11" ht="20.25">
      <c r="A327" s="139"/>
      <c r="B327" s="139"/>
      <c r="C327" s="139"/>
      <c r="D327" s="139"/>
      <c r="E327" s="150"/>
      <c r="F327" s="153"/>
      <c r="G327" s="139"/>
      <c r="H327" s="139"/>
      <c r="I327" s="139"/>
      <c r="J327" s="139"/>
      <c r="K327" s="139"/>
    </row>
    <row r="328" spans="1:11" ht="20.25">
      <c r="A328" s="139"/>
      <c r="B328" s="139"/>
      <c r="C328" s="139"/>
      <c r="D328" s="139"/>
      <c r="E328" s="150"/>
      <c r="F328" s="153"/>
      <c r="G328" s="139"/>
      <c r="H328" s="139"/>
      <c r="I328" s="139"/>
      <c r="J328" s="139"/>
      <c r="K328" s="139"/>
    </row>
    <row r="329" spans="1:11" ht="20.25">
      <c r="A329" s="139"/>
      <c r="B329" s="139"/>
      <c r="C329" s="139"/>
      <c r="D329" s="139"/>
      <c r="E329" s="150"/>
      <c r="F329" s="153"/>
      <c r="G329" s="139"/>
      <c r="H329" s="139"/>
      <c r="I329" s="139"/>
      <c r="J329" s="139"/>
      <c r="K329" s="139"/>
    </row>
    <row r="330" spans="1:11" ht="20.25">
      <c r="A330" s="139"/>
      <c r="B330" s="139"/>
      <c r="C330" s="139"/>
      <c r="D330" s="139"/>
      <c r="E330" s="150"/>
      <c r="F330" s="153"/>
      <c r="G330" s="139"/>
      <c r="H330" s="139"/>
      <c r="I330" s="139"/>
      <c r="J330" s="139"/>
      <c r="K330" s="139"/>
    </row>
    <row r="331" spans="1:11" ht="20.25">
      <c r="A331" s="139"/>
      <c r="B331" s="139"/>
      <c r="C331" s="139"/>
      <c r="D331" s="139"/>
      <c r="E331" s="150"/>
      <c r="F331" s="153"/>
      <c r="G331" s="139"/>
      <c r="H331" s="139"/>
      <c r="I331" s="139"/>
      <c r="J331" s="139"/>
      <c r="K331" s="139"/>
    </row>
    <row r="332" spans="1:11" ht="20.25">
      <c r="A332" s="139"/>
      <c r="B332" s="139"/>
      <c r="C332" s="139"/>
      <c r="D332" s="139"/>
      <c r="E332" s="150"/>
      <c r="F332" s="153"/>
      <c r="G332" s="139"/>
      <c r="H332" s="139"/>
      <c r="I332" s="139"/>
      <c r="J332" s="139"/>
      <c r="K332" s="139"/>
    </row>
    <row r="333" spans="1:11" ht="20.25">
      <c r="A333" s="139"/>
      <c r="B333" s="139"/>
      <c r="C333" s="139"/>
      <c r="D333" s="139"/>
      <c r="E333" s="150"/>
      <c r="F333" s="153"/>
      <c r="G333" s="139"/>
      <c r="H333" s="139"/>
      <c r="I333" s="139"/>
      <c r="J333" s="139"/>
      <c r="K333" s="139"/>
    </row>
    <row r="334" spans="1:11" ht="20.25">
      <c r="A334" s="139"/>
      <c r="B334" s="139"/>
      <c r="C334" s="139"/>
      <c r="D334" s="139"/>
      <c r="E334" s="150"/>
      <c r="F334" s="153"/>
      <c r="G334" s="139"/>
      <c r="H334" s="139"/>
      <c r="I334" s="139"/>
      <c r="J334" s="139"/>
      <c r="K334" s="139"/>
    </row>
    <row r="335" spans="1:11" ht="20.25">
      <c r="A335" s="139"/>
      <c r="B335" s="139"/>
      <c r="C335" s="139"/>
      <c r="D335" s="139"/>
      <c r="E335" s="150"/>
      <c r="F335" s="153"/>
      <c r="G335" s="139"/>
      <c r="H335" s="139"/>
      <c r="I335" s="139"/>
      <c r="J335" s="139"/>
      <c r="K335" s="139"/>
    </row>
    <row r="336" spans="1:11" ht="20.25">
      <c r="A336" s="139"/>
      <c r="B336" s="139"/>
      <c r="C336" s="139"/>
      <c r="D336" s="139"/>
      <c r="E336" s="150"/>
      <c r="F336" s="153"/>
      <c r="G336" s="139"/>
      <c r="H336" s="139"/>
      <c r="I336" s="139"/>
      <c r="J336" s="139"/>
      <c r="K336" s="139"/>
    </row>
    <row r="337" spans="1:11" ht="20.25">
      <c r="A337" s="139"/>
      <c r="B337" s="139"/>
      <c r="C337" s="139"/>
      <c r="D337" s="139"/>
      <c r="E337" s="150"/>
      <c r="F337" s="153"/>
      <c r="G337" s="139"/>
      <c r="H337" s="139"/>
      <c r="I337" s="139"/>
      <c r="J337" s="139"/>
      <c r="K337" s="139"/>
    </row>
    <row r="338" spans="1:11" ht="20.25">
      <c r="A338" s="139"/>
      <c r="B338" s="139"/>
      <c r="C338" s="139"/>
      <c r="D338" s="139"/>
      <c r="E338" s="150"/>
      <c r="F338" s="153"/>
      <c r="G338" s="139"/>
      <c r="H338" s="139"/>
      <c r="I338" s="139"/>
      <c r="J338" s="139"/>
      <c r="K338" s="139"/>
    </row>
    <row r="339" spans="1:11" ht="20.25">
      <c r="A339" s="139"/>
      <c r="B339" s="139"/>
      <c r="C339" s="139"/>
      <c r="D339" s="139"/>
      <c r="E339" s="150"/>
      <c r="F339" s="153"/>
      <c r="G339" s="139"/>
      <c r="H339" s="139"/>
      <c r="I339" s="139"/>
      <c r="J339" s="139"/>
      <c r="K339" s="139"/>
    </row>
    <row r="340" spans="1:11" ht="20.25">
      <c r="A340" s="139"/>
      <c r="B340" s="139"/>
      <c r="C340" s="139"/>
      <c r="D340" s="139"/>
      <c r="E340" s="150"/>
      <c r="F340" s="153"/>
      <c r="G340" s="139"/>
      <c r="H340" s="139"/>
      <c r="I340" s="139"/>
      <c r="J340" s="139"/>
      <c r="K340" s="139"/>
    </row>
    <row r="341" spans="1:11" ht="20.25">
      <c r="A341" s="139"/>
      <c r="B341" s="139"/>
      <c r="C341" s="139"/>
      <c r="D341" s="139"/>
      <c r="E341" s="150"/>
      <c r="F341" s="153"/>
      <c r="G341" s="139"/>
      <c r="H341" s="139"/>
      <c r="I341" s="139"/>
      <c r="J341" s="139"/>
      <c r="K341" s="139"/>
    </row>
    <row r="342" spans="1:11" ht="20.25">
      <c r="A342" s="139"/>
      <c r="B342" s="139"/>
      <c r="C342" s="139"/>
      <c r="D342" s="139"/>
      <c r="E342" s="150"/>
      <c r="F342" s="153"/>
      <c r="G342" s="139"/>
      <c r="H342" s="139"/>
      <c r="I342" s="139"/>
      <c r="J342" s="139"/>
      <c r="K342" s="139"/>
    </row>
    <row r="343" spans="1:11" ht="20.25">
      <c r="A343" s="139"/>
      <c r="B343" s="139"/>
      <c r="C343" s="139"/>
      <c r="D343" s="139"/>
      <c r="E343" s="150"/>
      <c r="F343" s="153"/>
      <c r="G343" s="139"/>
      <c r="H343" s="139"/>
      <c r="I343" s="139"/>
      <c r="J343" s="139"/>
      <c r="K343" s="139"/>
    </row>
    <row r="344" spans="1:11" ht="20.25">
      <c r="A344" s="139"/>
      <c r="B344" s="139"/>
      <c r="C344" s="139"/>
      <c r="D344" s="139"/>
      <c r="E344" s="150"/>
      <c r="F344" s="153"/>
      <c r="G344" s="139"/>
      <c r="H344" s="139"/>
      <c r="I344" s="139"/>
      <c r="J344" s="139"/>
      <c r="K344" s="139"/>
    </row>
    <row r="345" spans="1:11" ht="20.25">
      <c r="A345" s="139"/>
      <c r="B345" s="139"/>
      <c r="C345" s="139"/>
      <c r="D345" s="139"/>
      <c r="E345" s="150"/>
      <c r="F345" s="153"/>
      <c r="G345" s="139"/>
      <c r="H345" s="139"/>
      <c r="I345" s="139"/>
      <c r="J345" s="139"/>
      <c r="K345" s="139"/>
    </row>
    <row r="346" spans="1:11" ht="20.25">
      <c r="A346" s="139"/>
      <c r="B346" s="139"/>
      <c r="C346" s="139"/>
      <c r="D346" s="139"/>
      <c r="E346" s="150"/>
      <c r="F346" s="153"/>
      <c r="G346" s="139"/>
      <c r="H346" s="139"/>
      <c r="I346" s="139"/>
      <c r="J346" s="139"/>
      <c r="K346" s="139"/>
    </row>
    <row r="347" spans="1:11" ht="20.25">
      <c r="A347" s="139"/>
      <c r="B347" s="139"/>
      <c r="C347" s="139"/>
      <c r="D347" s="139"/>
      <c r="E347" s="150"/>
      <c r="F347" s="153"/>
      <c r="G347" s="139"/>
      <c r="H347" s="139"/>
      <c r="I347" s="139"/>
      <c r="J347" s="139"/>
      <c r="K347" s="139"/>
    </row>
    <row r="348" spans="1:11" ht="20.25">
      <c r="A348" s="139"/>
      <c r="B348" s="139"/>
      <c r="C348" s="139"/>
      <c r="D348" s="139"/>
      <c r="E348" s="150"/>
      <c r="F348" s="153"/>
      <c r="G348" s="139"/>
      <c r="H348" s="139"/>
      <c r="I348" s="139"/>
      <c r="J348" s="139"/>
      <c r="K348" s="139"/>
    </row>
    <row r="349" spans="1:11" ht="20.25">
      <c r="A349" s="139"/>
      <c r="B349" s="139"/>
      <c r="C349" s="139"/>
      <c r="D349" s="139"/>
      <c r="E349" s="150"/>
      <c r="F349" s="153"/>
      <c r="G349" s="139"/>
      <c r="H349" s="139"/>
      <c r="I349" s="139"/>
      <c r="J349" s="139"/>
      <c r="K349" s="139"/>
    </row>
    <row r="350" spans="1:11" ht="20.25">
      <c r="A350" s="139"/>
      <c r="B350" s="139"/>
      <c r="C350" s="139"/>
      <c r="D350" s="139"/>
      <c r="E350" s="150"/>
      <c r="F350" s="153"/>
      <c r="G350" s="139"/>
      <c r="H350" s="139"/>
      <c r="I350" s="139"/>
      <c r="J350" s="139"/>
      <c r="K350" s="139"/>
    </row>
    <row r="351" spans="1:11" ht="20.25">
      <c r="A351" s="139"/>
      <c r="B351" s="139"/>
      <c r="C351" s="139"/>
      <c r="D351" s="139"/>
      <c r="E351" s="150"/>
      <c r="F351" s="153"/>
      <c r="G351" s="139"/>
      <c r="H351" s="139"/>
      <c r="I351" s="139"/>
      <c r="J351" s="139"/>
      <c r="K351" s="139"/>
    </row>
    <row r="352" spans="1:11" ht="20.25">
      <c r="A352" s="139"/>
      <c r="B352" s="139"/>
      <c r="C352" s="139"/>
      <c r="D352" s="139"/>
      <c r="E352" s="150"/>
      <c r="F352" s="153"/>
      <c r="G352" s="139"/>
      <c r="H352" s="139"/>
      <c r="I352" s="139"/>
      <c r="J352" s="139"/>
      <c r="K352" s="139"/>
    </row>
    <row r="353" spans="1:11" ht="20.25">
      <c r="A353" s="139"/>
      <c r="B353" s="139"/>
      <c r="C353" s="139"/>
      <c r="D353" s="139"/>
      <c r="E353" s="150"/>
      <c r="F353" s="153"/>
      <c r="G353" s="139"/>
      <c r="H353" s="139"/>
      <c r="I353" s="139"/>
      <c r="J353" s="139"/>
      <c r="K353" s="139"/>
    </row>
    <row r="354" spans="1:11" ht="20.25">
      <c r="A354" s="139"/>
      <c r="B354" s="139"/>
      <c r="C354" s="139"/>
      <c r="D354" s="139"/>
      <c r="E354" s="150"/>
      <c r="F354" s="153"/>
      <c r="G354" s="139"/>
      <c r="H354" s="139"/>
      <c r="I354" s="139"/>
      <c r="J354" s="139"/>
      <c r="K354" s="139"/>
    </row>
    <row r="355" spans="1:11" ht="20.25">
      <c r="A355" s="139"/>
      <c r="B355" s="139"/>
      <c r="C355" s="139"/>
      <c r="D355" s="139"/>
      <c r="E355" s="150"/>
      <c r="F355" s="153"/>
      <c r="G355" s="139"/>
      <c r="H355" s="139"/>
      <c r="I355" s="139"/>
      <c r="J355" s="139"/>
      <c r="K355" s="139"/>
    </row>
    <row r="356" spans="1:11" ht="20.25">
      <c r="A356" s="139"/>
      <c r="B356" s="139"/>
      <c r="C356" s="139"/>
      <c r="D356" s="139"/>
      <c r="E356" s="150"/>
      <c r="F356" s="153"/>
      <c r="G356" s="139"/>
      <c r="H356" s="139"/>
      <c r="I356" s="139"/>
      <c r="J356" s="139"/>
      <c r="K356" s="139"/>
    </row>
    <row r="357" spans="1:11" ht="20.25">
      <c r="A357" s="139"/>
      <c r="B357" s="139"/>
      <c r="C357" s="139"/>
      <c r="D357" s="139"/>
      <c r="E357" s="150"/>
      <c r="F357" s="153"/>
      <c r="G357" s="139"/>
      <c r="H357" s="139"/>
      <c r="I357" s="139"/>
      <c r="J357" s="139"/>
      <c r="K357" s="139"/>
    </row>
    <row r="358" spans="1:11" ht="20.25">
      <c r="A358" s="139"/>
      <c r="B358" s="139"/>
      <c r="C358" s="139"/>
      <c r="D358" s="139"/>
      <c r="E358" s="150"/>
      <c r="F358" s="153"/>
      <c r="G358" s="139"/>
      <c r="H358" s="139"/>
      <c r="I358" s="139"/>
      <c r="J358" s="139"/>
      <c r="K358" s="139"/>
    </row>
    <row r="359" spans="1:11" ht="20.25">
      <c r="A359" s="139"/>
      <c r="B359" s="139"/>
      <c r="C359" s="139"/>
      <c r="D359" s="139"/>
      <c r="E359" s="150"/>
      <c r="F359" s="153"/>
      <c r="G359" s="139"/>
      <c r="H359" s="139"/>
      <c r="I359" s="139"/>
      <c r="J359" s="139"/>
      <c r="K359" s="139"/>
    </row>
    <row r="360" spans="1:11" ht="20.25">
      <c r="A360" s="139"/>
      <c r="B360" s="139"/>
      <c r="C360" s="139"/>
      <c r="D360" s="139"/>
      <c r="E360" s="150"/>
      <c r="F360" s="153"/>
      <c r="G360" s="139"/>
      <c r="H360" s="139"/>
      <c r="I360" s="139"/>
      <c r="J360" s="139"/>
      <c r="K360" s="139"/>
    </row>
    <row r="361" spans="1:11" ht="20.25">
      <c r="A361" s="139"/>
      <c r="B361" s="139"/>
      <c r="C361" s="139"/>
      <c r="D361" s="139"/>
      <c r="E361" s="150"/>
      <c r="F361" s="153"/>
      <c r="G361" s="139"/>
      <c r="H361" s="139"/>
      <c r="I361" s="139"/>
      <c r="J361" s="139"/>
      <c r="K361" s="139"/>
    </row>
    <row r="362" spans="1:11" ht="20.25">
      <c r="A362" s="139"/>
      <c r="B362" s="139"/>
      <c r="C362" s="139"/>
      <c r="D362" s="139"/>
      <c r="E362" s="150"/>
      <c r="F362" s="153"/>
      <c r="G362" s="139"/>
      <c r="H362" s="139"/>
      <c r="I362" s="139"/>
      <c r="J362" s="139"/>
      <c r="K362" s="139"/>
    </row>
    <row r="363" spans="1:11" ht="20.25">
      <c r="A363" s="139"/>
      <c r="B363" s="139"/>
      <c r="C363" s="139"/>
      <c r="D363" s="139"/>
      <c r="E363" s="150"/>
      <c r="F363" s="153"/>
      <c r="G363" s="139"/>
      <c r="H363" s="139"/>
      <c r="I363" s="139"/>
      <c r="J363" s="139"/>
      <c r="K363" s="139"/>
    </row>
    <row r="364" spans="1:11" ht="20.25">
      <c r="A364" s="139"/>
      <c r="B364" s="139"/>
      <c r="C364" s="139"/>
      <c r="D364" s="139"/>
      <c r="E364" s="150"/>
      <c r="F364" s="153"/>
      <c r="G364" s="139"/>
      <c r="H364" s="139"/>
      <c r="I364" s="139"/>
      <c r="J364" s="139"/>
      <c r="K364" s="139"/>
    </row>
    <row r="365" spans="1:11" ht="20.25">
      <c r="A365" s="139"/>
      <c r="B365" s="139"/>
      <c r="C365" s="139"/>
      <c r="D365" s="139"/>
      <c r="E365" s="150"/>
      <c r="F365" s="153"/>
      <c r="G365" s="139"/>
      <c r="H365" s="139"/>
      <c r="I365" s="139"/>
      <c r="J365" s="139"/>
      <c r="K365" s="139"/>
    </row>
    <row r="366" spans="1:11" ht="20.25">
      <c r="A366" s="139"/>
      <c r="B366" s="139"/>
      <c r="C366" s="139"/>
      <c r="D366" s="139"/>
      <c r="E366" s="150"/>
      <c r="F366" s="153"/>
      <c r="G366" s="139"/>
      <c r="H366" s="139"/>
      <c r="I366" s="139"/>
      <c r="J366" s="139"/>
      <c r="K366" s="139"/>
    </row>
    <row r="367" spans="1:11" ht="20.25">
      <c r="A367" s="139"/>
      <c r="B367" s="139"/>
      <c r="C367" s="139"/>
      <c r="D367" s="139"/>
      <c r="E367" s="150"/>
      <c r="F367" s="153"/>
      <c r="G367" s="139"/>
      <c r="H367" s="139"/>
      <c r="I367" s="139"/>
      <c r="J367" s="139"/>
      <c r="K367" s="139"/>
    </row>
    <row r="368" spans="1:11" ht="20.25">
      <c r="A368" s="139"/>
      <c r="B368" s="139"/>
      <c r="C368" s="139"/>
      <c r="D368" s="139"/>
      <c r="E368" s="150"/>
      <c r="F368" s="153"/>
      <c r="G368" s="139"/>
      <c r="H368" s="139"/>
      <c r="I368" s="139"/>
      <c r="J368" s="139"/>
      <c r="K368" s="139"/>
    </row>
    <row r="369" spans="1:11" ht="20.25">
      <c r="A369" s="139"/>
      <c r="B369" s="139"/>
      <c r="C369" s="139"/>
      <c r="D369" s="139"/>
      <c r="E369" s="150"/>
      <c r="F369" s="153"/>
      <c r="G369" s="139"/>
      <c r="H369" s="139"/>
      <c r="I369" s="139"/>
      <c r="J369" s="139"/>
      <c r="K369" s="139"/>
    </row>
    <row r="370" spans="1:11" ht="20.25">
      <c r="A370" s="139"/>
      <c r="B370" s="139"/>
      <c r="C370" s="139"/>
      <c r="D370" s="139"/>
      <c r="E370" s="150"/>
      <c r="F370" s="153"/>
      <c r="G370" s="139"/>
      <c r="H370" s="139"/>
      <c r="I370" s="139"/>
      <c r="J370" s="139"/>
      <c r="K370" s="139"/>
    </row>
    <row r="371" spans="1:11" ht="20.25">
      <c r="A371" s="139"/>
      <c r="B371" s="139"/>
      <c r="C371" s="139"/>
      <c r="D371" s="139"/>
      <c r="E371" s="150"/>
      <c r="F371" s="153"/>
      <c r="G371" s="139"/>
      <c r="H371" s="139"/>
      <c r="I371" s="139"/>
      <c r="J371" s="139"/>
      <c r="K371" s="139"/>
    </row>
    <row r="372" spans="1:11" ht="20.25">
      <c r="A372" s="139"/>
      <c r="B372" s="139"/>
      <c r="C372" s="139"/>
      <c r="D372" s="139"/>
      <c r="E372" s="150"/>
      <c r="F372" s="153"/>
      <c r="G372" s="139"/>
      <c r="H372" s="139"/>
      <c r="I372" s="139"/>
      <c r="J372" s="139"/>
      <c r="K372" s="139"/>
    </row>
    <row r="373" spans="1:11" ht="20.25">
      <c r="A373" s="139"/>
      <c r="B373" s="139"/>
      <c r="C373" s="139"/>
      <c r="D373" s="139"/>
      <c r="E373" s="150"/>
      <c r="F373" s="153"/>
      <c r="G373" s="139"/>
      <c r="H373" s="139"/>
      <c r="I373" s="139"/>
      <c r="J373" s="139"/>
      <c r="K373" s="139"/>
    </row>
    <row r="374" spans="1:11" ht="20.25">
      <c r="A374" s="139"/>
      <c r="B374" s="139"/>
      <c r="C374" s="139"/>
      <c r="D374" s="139"/>
      <c r="E374" s="150"/>
      <c r="F374" s="153"/>
      <c r="G374" s="139"/>
      <c r="H374" s="139"/>
      <c r="I374" s="139"/>
      <c r="J374" s="139"/>
      <c r="K374" s="139"/>
    </row>
    <row r="375" spans="1:11" ht="20.25">
      <c r="A375" s="139"/>
      <c r="B375" s="139"/>
      <c r="C375" s="139"/>
      <c r="D375" s="139"/>
      <c r="E375" s="150"/>
      <c r="F375" s="153"/>
      <c r="G375" s="139"/>
      <c r="H375" s="139"/>
      <c r="I375" s="139"/>
      <c r="J375" s="139"/>
      <c r="K375" s="139"/>
    </row>
    <row r="376" spans="1:11" ht="20.25">
      <c r="A376" s="139"/>
      <c r="B376" s="139"/>
      <c r="C376" s="139"/>
      <c r="D376" s="139"/>
      <c r="E376" s="150"/>
      <c r="F376" s="153"/>
      <c r="G376" s="139"/>
      <c r="H376" s="139"/>
      <c r="I376" s="139"/>
      <c r="J376" s="139"/>
      <c r="K376" s="139"/>
    </row>
    <row r="377" spans="1:11" ht="20.25">
      <c r="A377" s="139"/>
      <c r="B377" s="139"/>
      <c r="C377" s="139"/>
      <c r="D377" s="139"/>
      <c r="E377" s="150"/>
      <c r="F377" s="153"/>
      <c r="G377" s="139"/>
      <c r="H377" s="139"/>
      <c r="I377" s="139"/>
      <c r="J377" s="139"/>
      <c r="K377" s="139"/>
    </row>
    <row r="378" spans="1:11" ht="20.25">
      <c r="A378" s="139"/>
      <c r="B378" s="139"/>
      <c r="C378" s="139"/>
      <c r="D378" s="139"/>
      <c r="E378" s="150"/>
      <c r="F378" s="153"/>
      <c r="G378" s="139"/>
      <c r="H378" s="139"/>
      <c r="I378" s="139"/>
      <c r="J378" s="139"/>
      <c r="K378" s="139"/>
    </row>
    <row r="379" spans="1:11" ht="20.25">
      <c r="A379" s="139"/>
      <c r="B379" s="139"/>
      <c r="C379" s="139"/>
      <c r="D379" s="139"/>
      <c r="E379" s="150"/>
      <c r="F379" s="153"/>
      <c r="G379" s="139"/>
      <c r="H379" s="139"/>
      <c r="I379" s="139"/>
      <c r="J379" s="139"/>
      <c r="K379" s="139"/>
    </row>
    <row r="380" spans="1:11" ht="20.25">
      <c r="A380" s="139"/>
      <c r="B380" s="139"/>
      <c r="C380" s="139"/>
      <c r="D380" s="139"/>
      <c r="E380" s="150"/>
      <c r="F380" s="153"/>
      <c r="G380" s="139"/>
      <c r="H380" s="139"/>
      <c r="I380" s="139"/>
      <c r="J380" s="139"/>
      <c r="K380" s="139"/>
    </row>
    <row r="381" spans="1:11" ht="20.25">
      <c r="A381" s="139"/>
      <c r="B381" s="139"/>
      <c r="C381" s="139"/>
      <c r="D381" s="139"/>
      <c r="E381" s="150"/>
      <c r="F381" s="153"/>
      <c r="G381" s="139"/>
      <c r="H381" s="139"/>
      <c r="I381" s="139"/>
      <c r="J381" s="139"/>
      <c r="K381" s="139"/>
    </row>
    <row r="382" spans="1:11" ht="20.25">
      <c r="A382" s="139"/>
      <c r="B382" s="139"/>
      <c r="C382" s="139"/>
      <c r="D382" s="139"/>
      <c r="E382" s="150"/>
      <c r="F382" s="153"/>
      <c r="G382" s="139"/>
      <c r="H382" s="139"/>
      <c r="I382" s="139"/>
      <c r="J382" s="139"/>
      <c r="K382" s="139"/>
    </row>
    <row r="383" spans="1:11" ht="20.25">
      <c r="A383" s="139"/>
      <c r="B383" s="139"/>
      <c r="C383" s="139"/>
      <c r="D383" s="139"/>
      <c r="E383" s="150"/>
      <c r="F383" s="153"/>
      <c r="G383" s="139"/>
      <c r="H383" s="139"/>
      <c r="I383" s="139"/>
      <c r="J383" s="139"/>
      <c r="K383" s="139"/>
    </row>
    <row r="384" spans="1:11" ht="20.25">
      <c r="A384" s="139"/>
      <c r="B384" s="139"/>
      <c r="C384" s="139"/>
      <c r="D384" s="139"/>
      <c r="E384" s="150"/>
      <c r="F384" s="153"/>
      <c r="G384" s="139"/>
      <c r="H384" s="139"/>
      <c r="I384" s="139"/>
      <c r="J384" s="139"/>
      <c r="K384" s="139"/>
    </row>
    <row r="385" spans="1:11" ht="20.25">
      <c r="A385" s="139"/>
      <c r="B385" s="139"/>
      <c r="C385" s="139"/>
      <c r="D385" s="139"/>
      <c r="E385" s="150"/>
      <c r="F385" s="153"/>
      <c r="G385" s="139"/>
      <c r="H385" s="139"/>
      <c r="I385" s="139"/>
      <c r="J385" s="139"/>
      <c r="K385" s="139"/>
    </row>
    <row r="386" spans="1:11" ht="20.25">
      <c r="A386" s="139"/>
      <c r="B386" s="139"/>
      <c r="C386" s="139"/>
      <c r="D386" s="139"/>
      <c r="E386" s="150"/>
      <c r="F386" s="153"/>
      <c r="G386" s="139"/>
      <c r="H386" s="139"/>
      <c r="I386" s="139"/>
      <c r="J386" s="139"/>
      <c r="K386" s="139"/>
    </row>
    <row r="387" spans="1:11" ht="20.25">
      <c r="A387" s="139"/>
      <c r="B387" s="139"/>
      <c r="C387" s="139"/>
      <c r="D387" s="139"/>
      <c r="E387" s="150"/>
      <c r="F387" s="153"/>
      <c r="G387" s="139"/>
      <c r="H387" s="139"/>
      <c r="I387" s="139"/>
      <c r="J387" s="139"/>
      <c r="K387" s="139"/>
    </row>
    <row r="388" spans="1:11" ht="20.25">
      <c r="A388" s="139"/>
      <c r="B388" s="139"/>
      <c r="C388" s="139"/>
      <c r="D388" s="139"/>
      <c r="E388" s="150"/>
      <c r="F388" s="153"/>
      <c r="G388" s="139"/>
      <c r="H388" s="139"/>
      <c r="I388" s="139"/>
      <c r="J388" s="139"/>
      <c r="K388" s="139"/>
    </row>
    <row r="389" spans="1:11" ht="20.25">
      <c r="A389" s="139"/>
      <c r="B389" s="139"/>
      <c r="C389" s="139"/>
      <c r="D389" s="139"/>
      <c r="E389" s="150"/>
      <c r="F389" s="153"/>
      <c r="G389" s="139"/>
      <c r="H389" s="139"/>
      <c r="I389" s="139"/>
      <c r="J389" s="139"/>
      <c r="K389" s="139"/>
    </row>
    <row r="390" spans="1:11" ht="20.25">
      <c r="A390" s="139"/>
      <c r="B390" s="139"/>
      <c r="C390" s="139"/>
      <c r="D390" s="139"/>
      <c r="E390" s="150"/>
      <c r="F390" s="153"/>
      <c r="G390" s="139"/>
      <c r="H390" s="139"/>
      <c r="I390" s="139"/>
      <c r="J390" s="139"/>
      <c r="K390" s="139"/>
    </row>
    <row r="391" spans="1:11" ht="20.25">
      <c r="A391" s="139"/>
      <c r="B391" s="139"/>
      <c r="C391" s="139"/>
      <c r="D391" s="139"/>
      <c r="E391" s="150"/>
      <c r="F391" s="153"/>
      <c r="G391" s="139"/>
      <c r="H391" s="139"/>
      <c r="I391" s="139"/>
      <c r="J391" s="139"/>
      <c r="K391" s="139"/>
    </row>
    <row r="392" spans="1:11" ht="20.25">
      <c r="A392" s="139"/>
      <c r="B392" s="139"/>
      <c r="C392" s="139"/>
      <c r="D392" s="139"/>
      <c r="E392" s="150"/>
      <c r="F392" s="153"/>
      <c r="G392" s="139"/>
      <c r="H392" s="139"/>
      <c r="I392" s="139"/>
      <c r="J392" s="139"/>
      <c r="K392" s="139"/>
    </row>
    <row r="393" spans="1:11" ht="20.25">
      <c r="A393" s="139"/>
      <c r="B393" s="139"/>
      <c r="C393" s="139"/>
      <c r="D393" s="139"/>
      <c r="E393" s="150"/>
      <c r="F393" s="153"/>
      <c r="G393" s="139"/>
      <c r="H393" s="139"/>
      <c r="I393" s="139"/>
      <c r="J393" s="139"/>
      <c r="K393" s="139"/>
    </row>
    <row r="394" spans="1:11" ht="20.25">
      <c r="A394" s="139"/>
      <c r="B394" s="139"/>
      <c r="C394" s="139"/>
      <c r="D394" s="139"/>
      <c r="E394" s="150"/>
      <c r="F394" s="153"/>
      <c r="G394" s="139"/>
      <c r="H394" s="139"/>
      <c r="I394" s="139"/>
      <c r="J394" s="139"/>
      <c r="K394" s="139"/>
    </row>
    <row r="395" spans="1:11" ht="20.25">
      <c r="A395" s="139"/>
      <c r="B395" s="139"/>
      <c r="C395" s="139"/>
      <c r="D395" s="139"/>
      <c r="E395" s="150"/>
      <c r="F395" s="153"/>
      <c r="G395" s="139"/>
      <c r="H395" s="139"/>
      <c r="I395" s="139"/>
      <c r="J395" s="139"/>
      <c r="K395" s="139"/>
    </row>
    <row r="396" spans="1:11" ht="20.25">
      <c r="A396" s="139"/>
      <c r="B396" s="139"/>
      <c r="C396" s="139"/>
      <c r="D396" s="139"/>
      <c r="E396" s="150"/>
      <c r="F396" s="153"/>
      <c r="G396" s="139"/>
      <c r="H396" s="139"/>
      <c r="I396" s="139"/>
      <c r="J396" s="139"/>
      <c r="K396" s="139"/>
    </row>
    <row r="397" spans="1:11" ht="20.25">
      <c r="A397" s="139"/>
      <c r="B397" s="139"/>
      <c r="C397" s="139"/>
      <c r="D397" s="139"/>
      <c r="E397" s="150"/>
      <c r="F397" s="153"/>
      <c r="G397" s="139"/>
      <c r="H397" s="139"/>
      <c r="I397" s="139"/>
      <c r="J397" s="139"/>
      <c r="K397" s="139"/>
    </row>
    <row r="398" spans="1:11" ht="20.25">
      <c r="A398" s="139"/>
      <c r="B398" s="139"/>
      <c r="C398" s="139"/>
      <c r="D398" s="139"/>
      <c r="E398" s="150"/>
      <c r="F398" s="153"/>
      <c r="G398" s="139"/>
      <c r="H398" s="139"/>
      <c r="I398" s="139"/>
      <c r="J398" s="139"/>
      <c r="K398" s="139"/>
    </row>
    <row r="399" spans="1:11" ht="20.25">
      <c r="A399" s="139"/>
      <c r="B399" s="139"/>
      <c r="C399" s="139"/>
      <c r="D399" s="139"/>
      <c r="E399" s="150"/>
      <c r="F399" s="153"/>
      <c r="G399" s="139"/>
      <c r="H399" s="139"/>
      <c r="I399" s="139"/>
      <c r="J399" s="139"/>
      <c r="K399" s="139"/>
    </row>
    <row r="400" spans="1:11" ht="20.25">
      <c r="A400" s="139"/>
      <c r="B400" s="139"/>
      <c r="C400" s="139"/>
      <c r="D400" s="139"/>
      <c r="E400" s="150"/>
      <c r="F400" s="153"/>
      <c r="G400" s="139"/>
      <c r="H400" s="139"/>
      <c r="I400" s="139"/>
      <c r="J400" s="139"/>
      <c r="K400" s="139"/>
    </row>
    <row r="401" spans="1:11" ht="20.25">
      <c r="A401" s="139"/>
      <c r="B401" s="139"/>
      <c r="C401" s="139"/>
      <c r="D401" s="139"/>
      <c r="E401" s="150"/>
      <c r="F401" s="153"/>
      <c r="G401" s="139"/>
      <c r="H401" s="139"/>
      <c r="I401" s="139"/>
      <c r="J401" s="139"/>
      <c r="K401" s="139"/>
    </row>
    <row r="402" spans="1:11" ht="20.25">
      <c r="A402" s="139"/>
      <c r="B402" s="139"/>
      <c r="C402" s="139"/>
      <c r="D402" s="139"/>
      <c r="E402" s="150"/>
      <c r="F402" s="153"/>
      <c r="G402" s="139"/>
      <c r="H402" s="139"/>
      <c r="I402" s="139"/>
      <c r="J402" s="139"/>
      <c r="K402" s="139"/>
    </row>
    <row r="403" spans="1:11" ht="20.25">
      <c r="A403" s="139"/>
      <c r="B403" s="139"/>
      <c r="C403" s="139"/>
      <c r="D403" s="139"/>
      <c r="E403" s="150"/>
      <c r="F403" s="153"/>
      <c r="G403" s="139"/>
      <c r="H403" s="139"/>
      <c r="I403" s="139"/>
      <c r="J403" s="139"/>
      <c r="K403" s="139"/>
    </row>
    <row r="404" spans="1:11" ht="20.25">
      <c r="A404" s="139"/>
      <c r="B404" s="139"/>
      <c r="C404" s="139"/>
      <c r="D404" s="139"/>
      <c r="E404" s="150"/>
      <c r="F404" s="153"/>
      <c r="G404" s="139"/>
      <c r="H404" s="139"/>
      <c r="I404" s="139"/>
      <c r="J404" s="139"/>
      <c r="K404" s="139"/>
    </row>
    <row r="405" spans="1:11" ht="20.25">
      <c r="A405" s="139"/>
      <c r="B405" s="139"/>
      <c r="C405" s="139"/>
      <c r="D405" s="139"/>
      <c r="E405" s="150"/>
      <c r="F405" s="153"/>
      <c r="G405" s="139"/>
      <c r="H405" s="139"/>
      <c r="I405" s="139"/>
      <c r="J405" s="139"/>
      <c r="K405" s="139"/>
    </row>
    <row r="406" spans="1:11" ht="20.25">
      <c r="A406" s="139"/>
      <c r="B406" s="139"/>
      <c r="C406" s="139"/>
      <c r="D406" s="139"/>
      <c r="E406" s="150"/>
      <c r="F406" s="153"/>
      <c r="G406" s="139"/>
      <c r="H406" s="139"/>
      <c r="I406" s="139"/>
      <c r="J406" s="139"/>
      <c r="K406" s="139"/>
    </row>
    <row r="407" spans="1:11" ht="20.25">
      <c r="A407" s="139"/>
      <c r="B407" s="139"/>
      <c r="C407" s="139"/>
      <c r="D407" s="139"/>
      <c r="E407" s="150"/>
      <c r="F407" s="153"/>
      <c r="G407" s="139"/>
      <c r="H407" s="139"/>
      <c r="I407" s="139"/>
      <c r="J407" s="139"/>
      <c r="K407" s="139"/>
    </row>
    <row r="408" spans="1:11" ht="20.25">
      <c r="A408" s="139"/>
      <c r="B408" s="139"/>
      <c r="C408" s="139"/>
      <c r="D408" s="139"/>
      <c r="E408" s="150"/>
      <c r="F408" s="153"/>
      <c r="G408" s="139"/>
      <c r="H408" s="139"/>
      <c r="I408" s="139"/>
      <c r="J408" s="139"/>
      <c r="K408" s="139"/>
    </row>
    <row r="409" spans="1:11" ht="20.25">
      <c r="A409" s="139"/>
      <c r="B409" s="139"/>
      <c r="C409" s="139"/>
      <c r="D409" s="139"/>
      <c r="E409" s="150"/>
      <c r="F409" s="153"/>
      <c r="G409" s="139"/>
      <c r="H409" s="139"/>
      <c r="I409" s="139"/>
      <c r="J409" s="139"/>
      <c r="K409" s="139"/>
    </row>
    <row r="410" spans="1:11" ht="20.25">
      <c r="A410" s="139"/>
      <c r="B410" s="139"/>
      <c r="C410" s="139"/>
      <c r="D410" s="139"/>
      <c r="E410" s="150"/>
      <c r="F410" s="153"/>
      <c r="G410" s="139"/>
      <c r="H410" s="139"/>
      <c r="I410" s="139"/>
      <c r="J410" s="139"/>
      <c r="K410" s="139"/>
    </row>
    <row r="411" spans="1:11" ht="20.25">
      <c r="A411" s="139"/>
      <c r="B411" s="139"/>
      <c r="C411" s="139"/>
      <c r="D411" s="139"/>
      <c r="E411" s="150"/>
      <c r="F411" s="153"/>
      <c r="G411" s="139"/>
      <c r="H411" s="139"/>
      <c r="I411" s="139"/>
      <c r="J411" s="139"/>
      <c r="K411" s="139"/>
    </row>
    <row r="412" spans="1:11" ht="20.25">
      <c r="A412" s="139"/>
      <c r="B412" s="139"/>
      <c r="C412" s="139"/>
      <c r="D412" s="139"/>
      <c r="E412" s="150"/>
      <c r="F412" s="153"/>
      <c r="G412" s="139"/>
      <c r="H412" s="139"/>
      <c r="I412" s="139"/>
      <c r="J412" s="139"/>
      <c r="K412" s="139"/>
    </row>
    <row r="413" spans="1:11" ht="20.25">
      <c r="A413" s="139"/>
      <c r="B413" s="139"/>
      <c r="C413" s="139"/>
      <c r="D413" s="139"/>
      <c r="E413" s="150"/>
      <c r="F413" s="153"/>
      <c r="G413" s="139"/>
      <c r="H413" s="139"/>
      <c r="I413" s="139"/>
      <c r="J413" s="139"/>
      <c r="K413" s="139"/>
    </row>
    <row r="414" spans="1:11" ht="20.25">
      <c r="A414" s="139"/>
      <c r="B414" s="139"/>
      <c r="C414" s="139"/>
      <c r="D414" s="139"/>
      <c r="E414" s="150"/>
      <c r="F414" s="153"/>
      <c r="G414" s="139"/>
      <c r="H414" s="139"/>
      <c r="I414" s="139"/>
      <c r="J414" s="139"/>
      <c r="K414" s="139"/>
    </row>
    <row r="415" spans="1:11" ht="20.25">
      <c r="A415" s="139"/>
      <c r="B415" s="139"/>
      <c r="C415" s="139"/>
      <c r="D415" s="139"/>
      <c r="E415" s="150"/>
      <c r="F415" s="153"/>
      <c r="G415" s="139"/>
      <c r="H415" s="139"/>
      <c r="I415" s="139"/>
      <c r="J415" s="139"/>
      <c r="K415" s="139"/>
    </row>
    <row r="416" spans="1:11" ht="20.25">
      <c r="A416" s="139"/>
      <c r="B416" s="139"/>
      <c r="C416" s="139"/>
      <c r="D416" s="139"/>
      <c r="E416" s="150"/>
      <c r="F416" s="153"/>
      <c r="G416" s="139"/>
      <c r="H416" s="139"/>
      <c r="I416" s="139"/>
      <c r="J416" s="139"/>
      <c r="K416" s="139"/>
    </row>
    <row r="417" spans="1:11" ht="20.25">
      <c r="A417" s="139"/>
      <c r="B417" s="139"/>
      <c r="C417" s="139"/>
      <c r="D417" s="139"/>
      <c r="E417" s="150"/>
      <c r="F417" s="153"/>
      <c r="G417" s="139"/>
      <c r="H417" s="139"/>
      <c r="I417" s="139"/>
      <c r="J417" s="139"/>
      <c r="K417" s="139"/>
    </row>
    <row r="418" spans="1:11" ht="20.25">
      <c r="A418" s="139"/>
      <c r="B418" s="139"/>
      <c r="C418" s="139"/>
      <c r="D418" s="139"/>
      <c r="E418" s="150"/>
      <c r="F418" s="153"/>
      <c r="G418" s="139"/>
      <c r="H418" s="139"/>
      <c r="I418" s="139"/>
      <c r="J418" s="139"/>
      <c r="K418" s="139"/>
    </row>
    <row r="419" spans="1:11" ht="20.25">
      <c r="A419" s="139"/>
      <c r="B419" s="139"/>
      <c r="C419" s="139"/>
      <c r="D419" s="139"/>
      <c r="E419" s="150"/>
      <c r="F419" s="153"/>
      <c r="G419" s="139"/>
      <c r="H419" s="139"/>
      <c r="I419" s="139"/>
      <c r="J419" s="139"/>
      <c r="K419" s="139"/>
    </row>
    <row r="420" spans="1:11" ht="20.25">
      <c r="A420" s="139"/>
      <c r="B420" s="139"/>
      <c r="C420" s="139"/>
      <c r="D420" s="139"/>
      <c r="E420" s="150"/>
      <c r="F420" s="153"/>
      <c r="G420" s="139"/>
      <c r="H420" s="139"/>
      <c r="I420" s="139"/>
      <c r="J420" s="139"/>
      <c r="K420" s="139"/>
    </row>
    <row r="421" spans="1:11" ht="20.25">
      <c r="A421" s="139"/>
      <c r="B421" s="139"/>
      <c r="C421" s="139"/>
      <c r="D421" s="139"/>
      <c r="E421" s="150"/>
      <c r="F421" s="153"/>
      <c r="G421" s="139"/>
      <c r="H421" s="139"/>
      <c r="I421" s="139"/>
      <c r="J421" s="139"/>
      <c r="K421" s="139"/>
    </row>
    <row r="422" spans="1:11" ht="20.25">
      <c r="A422" s="139"/>
      <c r="B422" s="139"/>
      <c r="C422" s="139"/>
      <c r="D422" s="139"/>
      <c r="E422" s="150"/>
      <c r="F422" s="153"/>
      <c r="G422" s="139"/>
      <c r="H422" s="139"/>
      <c r="I422" s="139"/>
      <c r="J422" s="139"/>
      <c r="K422" s="139"/>
    </row>
    <row r="423" spans="1:11" ht="20.25">
      <c r="A423" s="139"/>
      <c r="B423" s="139"/>
      <c r="C423" s="139"/>
      <c r="D423" s="139"/>
      <c r="E423" s="150"/>
      <c r="F423" s="153"/>
      <c r="G423" s="139"/>
      <c r="H423" s="139"/>
      <c r="I423" s="139"/>
      <c r="J423" s="139"/>
      <c r="K423" s="139"/>
    </row>
    <row r="424" spans="1:11" ht="20.25">
      <c r="A424" s="139"/>
      <c r="B424" s="139"/>
      <c r="C424" s="139"/>
      <c r="D424" s="139"/>
      <c r="E424" s="150"/>
      <c r="F424" s="153"/>
      <c r="G424" s="139"/>
      <c r="H424" s="139"/>
      <c r="I424" s="139"/>
      <c r="J424" s="139"/>
      <c r="K424" s="139"/>
    </row>
    <row r="425" spans="1:11" ht="20.25">
      <c r="A425" s="139"/>
      <c r="B425" s="139"/>
      <c r="C425" s="139"/>
      <c r="D425" s="139"/>
      <c r="E425" s="150"/>
      <c r="F425" s="153"/>
      <c r="G425" s="139"/>
      <c r="H425" s="139"/>
      <c r="I425" s="139"/>
      <c r="J425" s="139"/>
      <c r="K425" s="139"/>
    </row>
    <row r="426" spans="1:11" ht="20.25">
      <c r="A426" s="139"/>
      <c r="B426" s="139"/>
      <c r="C426" s="139"/>
      <c r="D426" s="139"/>
      <c r="E426" s="150"/>
      <c r="F426" s="153"/>
      <c r="G426" s="139"/>
      <c r="H426" s="139"/>
      <c r="I426" s="139"/>
      <c r="J426" s="139"/>
      <c r="K426" s="139"/>
    </row>
    <row r="427" spans="1:11" ht="20.25">
      <c r="A427" s="139"/>
      <c r="B427" s="139"/>
      <c r="C427" s="139"/>
      <c r="D427" s="139"/>
      <c r="E427" s="150"/>
      <c r="F427" s="153"/>
      <c r="G427" s="139"/>
      <c r="H427" s="139"/>
      <c r="I427" s="139"/>
      <c r="J427" s="139"/>
      <c r="K427" s="139"/>
    </row>
    <row r="428" spans="1:11" ht="20.25">
      <c r="A428" s="139"/>
      <c r="B428" s="139"/>
      <c r="C428" s="139"/>
      <c r="D428" s="139"/>
      <c r="E428" s="150"/>
      <c r="F428" s="153"/>
      <c r="G428" s="139"/>
      <c r="H428" s="139"/>
      <c r="I428" s="139"/>
      <c r="J428" s="139"/>
      <c r="K428" s="139"/>
    </row>
    <row r="429" spans="1:11" ht="20.25">
      <c r="A429" s="139"/>
      <c r="B429" s="139"/>
      <c r="C429" s="139"/>
      <c r="D429" s="139"/>
      <c r="E429" s="150"/>
      <c r="F429" s="153"/>
      <c r="G429" s="139"/>
      <c r="H429" s="139"/>
      <c r="I429" s="139"/>
      <c r="J429" s="139"/>
      <c r="K429" s="139"/>
    </row>
    <row r="430" spans="1:11" ht="20.25">
      <c r="A430" s="139"/>
      <c r="B430" s="139"/>
      <c r="C430" s="139"/>
      <c r="D430" s="139"/>
      <c r="E430" s="150"/>
      <c r="F430" s="153"/>
      <c r="G430" s="139"/>
      <c r="H430" s="139"/>
      <c r="I430" s="139"/>
      <c r="J430" s="139"/>
      <c r="K430" s="139"/>
    </row>
    <row r="431" spans="1:11" ht="20.25">
      <c r="A431" s="139"/>
      <c r="B431" s="139"/>
      <c r="C431" s="139"/>
      <c r="D431" s="139"/>
      <c r="E431" s="150"/>
      <c r="F431" s="153"/>
      <c r="G431" s="139"/>
      <c r="H431" s="139"/>
      <c r="I431" s="139"/>
      <c r="J431" s="139"/>
      <c r="K431" s="139"/>
    </row>
    <row r="432" spans="1:11" ht="20.25">
      <c r="A432" s="139"/>
      <c r="B432" s="139"/>
      <c r="C432" s="139"/>
      <c r="D432" s="139"/>
      <c r="E432" s="150"/>
      <c r="F432" s="153"/>
      <c r="G432" s="139"/>
      <c r="H432" s="139"/>
      <c r="I432" s="139"/>
      <c r="J432" s="139"/>
      <c r="K432" s="139"/>
    </row>
    <row r="433" spans="1:11" ht="20.25">
      <c r="A433" s="139"/>
      <c r="B433" s="139"/>
      <c r="C433" s="139"/>
      <c r="D433" s="139"/>
      <c r="E433" s="150"/>
      <c r="F433" s="153"/>
      <c r="G433" s="139"/>
      <c r="H433" s="139"/>
      <c r="I433" s="139"/>
      <c r="J433" s="139"/>
      <c r="K433" s="139"/>
    </row>
    <row r="434" spans="1:11" ht="20.25">
      <c r="A434" s="139"/>
      <c r="B434" s="139"/>
      <c r="C434" s="139"/>
      <c r="D434" s="139"/>
      <c r="E434" s="150"/>
      <c r="F434" s="153"/>
      <c r="G434" s="139"/>
      <c r="H434" s="139"/>
      <c r="I434" s="139"/>
      <c r="J434" s="139"/>
      <c r="K434" s="139"/>
    </row>
    <row r="435" spans="1:11" ht="20.25">
      <c r="A435" s="139"/>
      <c r="B435" s="139"/>
      <c r="C435" s="139"/>
      <c r="D435" s="139"/>
      <c r="E435" s="150"/>
      <c r="F435" s="153"/>
      <c r="G435" s="139"/>
      <c r="H435" s="139"/>
      <c r="I435" s="139"/>
      <c r="J435" s="139"/>
      <c r="K435" s="139"/>
    </row>
    <row r="436" spans="1:11" ht="20.25">
      <c r="A436" s="139"/>
      <c r="B436" s="139"/>
      <c r="C436" s="139"/>
      <c r="D436" s="139"/>
      <c r="E436" s="150"/>
      <c r="F436" s="153"/>
      <c r="G436" s="139"/>
      <c r="H436" s="139"/>
      <c r="I436" s="139"/>
      <c r="J436" s="139"/>
      <c r="K436" s="139"/>
    </row>
    <row r="437" spans="1:11" ht="20.25">
      <c r="A437" s="139"/>
      <c r="B437" s="139"/>
      <c r="C437" s="139"/>
      <c r="D437" s="139"/>
      <c r="E437" s="150"/>
      <c r="F437" s="153"/>
      <c r="G437" s="139"/>
      <c r="H437" s="139"/>
      <c r="I437" s="139"/>
      <c r="J437" s="139"/>
      <c r="K437" s="139"/>
    </row>
    <row r="438" spans="1:11" ht="20.25">
      <c r="A438" s="139"/>
      <c r="B438" s="139"/>
      <c r="C438" s="139"/>
      <c r="D438" s="139"/>
      <c r="E438" s="150"/>
      <c r="F438" s="153"/>
      <c r="G438" s="139"/>
      <c r="H438" s="139"/>
      <c r="I438" s="139"/>
      <c r="J438" s="139"/>
      <c r="K438" s="139"/>
    </row>
    <row r="439" spans="1:11" ht="20.25">
      <c r="A439" s="139"/>
      <c r="B439" s="139"/>
      <c r="C439" s="139"/>
      <c r="D439" s="139"/>
      <c r="E439" s="150"/>
      <c r="F439" s="153"/>
      <c r="G439" s="139"/>
      <c r="H439" s="139"/>
      <c r="I439" s="139"/>
      <c r="J439" s="139"/>
      <c r="K439" s="139"/>
    </row>
    <row r="440" spans="1:11" ht="20.25">
      <c r="A440" s="139"/>
      <c r="B440" s="139"/>
      <c r="C440" s="139"/>
      <c r="D440" s="139"/>
      <c r="E440" s="150"/>
      <c r="F440" s="153"/>
      <c r="G440" s="139"/>
      <c r="H440" s="139"/>
      <c r="I440" s="139"/>
      <c r="J440" s="139"/>
      <c r="K440" s="139"/>
    </row>
    <row r="441" spans="1:11" ht="20.25">
      <c r="A441" s="139"/>
      <c r="B441" s="139"/>
      <c r="C441" s="139"/>
      <c r="D441" s="139"/>
      <c r="E441" s="150"/>
      <c r="F441" s="153"/>
      <c r="G441" s="139"/>
      <c r="H441" s="139"/>
      <c r="I441" s="139"/>
      <c r="J441" s="139"/>
      <c r="K441" s="139"/>
    </row>
    <row r="442" spans="1:11" ht="20.25">
      <c r="A442" s="139"/>
      <c r="B442" s="139"/>
      <c r="C442" s="139"/>
      <c r="D442" s="139"/>
      <c r="E442" s="150"/>
      <c r="F442" s="153"/>
      <c r="G442" s="139"/>
      <c r="H442" s="139"/>
      <c r="I442" s="139"/>
      <c r="J442" s="139"/>
      <c r="K442" s="139"/>
    </row>
    <row r="443" spans="1:11" ht="20.25">
      <c r="A443" s="139"/>
      <c r="B443" s="139"/>
      <c r="C443" s="139"/>
      <c r="D443" s="139"/>
      <c r="E443" s="150"/>
      <c r="F443" s="153"/>
      <c r="G443" s="139"/>
      <c r="H443" s="139"/>
      <c r="I443" s="139"/>
      <c r="J443" s="139"/>
      <c r="K443" s="139"/>
    </row>
    <row r="444" spans="1:11" ht="20.25">
      <c r="A444" s="139"/>
      <c r="B444" s="139"/>
      <c r="C444" s="139"/>
      <c r="D444" s="139"/>
      <c r="E444" s="150"/>
      <c r="F444" s="153"/>
      <c r="G444" s="139"/>
      <c r="H444" s="139"/>
      <c r="I444" s="139"/>
      <c r="J444" s="139"/>
      <c r="K444" s="139"/>
    </row>
    <row r="445" spans="1:11" ht="20.25">
      <c r="A445" s="139"/>
      <c r="B445" s="139"/>
      <c r="C445" s="139"/>
      <c r="D445" s="139"/>
      <c r="E445" s="150"/>
      <c r="F445" s="153"/>
      <c r="G445" s="139"/>
      <c r="H445" s="139"/>
      <c r="I445" s="139"/>
      <c r="J445" s="139"/>
      <c r="K445" s="139"/>
    </row>
    <row r="446" spans="1:11" ht="20.25">
      <c r="A446" s="139"/>
      <c r="B446" s="139"/>
      <c r="C446" s="139"/>
      <c r="D446" s="139"/>
      <c r="E446" s="150"/>
      <c r="F446" s="153"/>
      <c r="G446" s="139"/>
      <c r="H446" s="139"/>
      <c r="I446" s="139"/>
      <c r="J446" s="139"/>
      <c r="K446" s="139"/>
    </row>
    <row r="447" spans="1:11" ht="20.25">
      <c r="A447" s="139"/>
      <c r="B447" s="139"/>
      <c r="C447" s="139"/>
      <c r="D447" s="139"/>
      <c r="E447" s="150"/>
      <c r="F447" s="153"/>
      <c r="G447" s="139"/>
      <c r="H447" s="139"/>
      <c r="I447" s="139"/>
      <c r="J447" s="139"/>
      <c r="K447" s="139"/>
    </row>
    <row r="448" spans="1:11" ht="20.25">
      <c r="A448" s="139"/>
      <c r="B448" s="139"/>
      <c r="C448" s="139"/>
      <c r="D448" s="139"/>
      <c r="E448" s="150"/>
      <c r="F448" s="153"/>
      <c r="G448" s="139"/>
      <c r="H448" s="139"/>
      <c r="I448" s="139"/>
      <c r="J448" s="139"/>
      <c r="K448" s="139"/>
    </row>
    <row r="449" spans="1:11" ht="20.25">
      <c r="A449" s="139"/>
      <c r="B449" s="139"/>
      <c r="C449" s="139"/>
      <c r="D449" s="139"/>
      <c r="E449" s="150"/>
      <c r="F449" s="153"/>
      <c r="G449" s="139"/>
      <c r="H449" s="139"/>
      <c r="I449" s="139"/>
      <c r="J449" s="139"/>
      <c r="K449" s="139"/>
    </row>
    <row r="450" spans="1:11" ht="20.25">
      <c r="A450" s="139"/>
      <c r="B450" s="139"/>
      <c r="C450" s="139"/>
      <c r="D450" s="139"/>
      <c r="E450" s="150"/>
      <c r="F450" s="153"/>
      <c r="G450" s="139"/>
      <c r="H450" s="139"/>
      <c r="I450" s="139"/>
      <c r="J450" s="139"/>
      <c r="K450" s="139"/>
    </row>
    <row r="451" spans="1:11" ht="20.25">
      <c r="A451" s="139"/>
      <c r="B451" s="139"/>
      <c r="C451" s="139"/>
      <c r="D451" s="139"/>
      <c r="E451" s="150"/>
      <c r="F451" s="153"/>
      <c r="G451" s="139"/>
      <c r="H451" s="139"/>
      <c r="I451" s="139"/>
      <c r="J451" s="139"/>
      <c r="K451" s="139"/>
    </row>
    <row r="452" spans="1:11" ht="20.25">
      <c r="A452" s="139"/>
      <c r="B452" s="139"/>
      <c r="C452" s="139"/>
      <c r="D452" s="139"/>
      <c r="E452" s="150"/>
      <c r="F452" s="153"/>
      <c r="G452" s="139"/>
      <c r="H452" s="139"/>
      <c r="I452" s="139"/>
      <c r="J452" s="139"/>
      <c r="K452" s="139"/>
    </row>
    <row r="453" spans="1:11" ht="20.25">
      <c r="A453" s="139"/>
      <c r="B453" s="139"/>
      <c r="C453" s="139"/>
      <c r="D453" s="139"/>
      <c r="E453" s="150"/>
      <c r="F453" s="153"/>
      <c r="G453" s="139"/>
      <c r="H453" s="139"/>
      <c r="I453" s="139"/>
      <c r="J453" s="139"/>
      <c r="K453" s="139"/>
    </row>
    <row r="454" spans="1:11" ht="20.25">
      <c r="A454" s="139"/>
      <c r="B454" s="139"/>
      <c r="C454" s="139"/>
      <c r="D454" s="139"/>
      <c r="E454" s="150"/>
      <c r="F454" s="153"/>
      <c r="G454" s="139"/>
      <c r="H454" s="139"/>
      <c r="I454" s="139"/>
      <c r="J454" s="139"/>
      <c r="K454" s="139"/>
    </row>
    <row r="455" spans="1:11" ht="20.25">
      <c r="A455" s="139"/>
      <c r="B455" s="139"/>
      <c r="C455" s="139"/>
      <c r="D455" s="139"/>
      <c r="E455" s="150"/>
      <c r="F455" s="153"/>
      <c r="G455" s="139"/>
      <c r="H455" s="139"/>
      <c r="I455" s="139"/>
      <c r="J455" s="139"/>
      <c r="K455" s="139"/>
    </row>
    <row r="456" spans="1:11" ht="20.25">
      <c r="A456" s="139"/>
      <c r="B456" s="139"/>
      <c r="C456" s="139"/>
      <c r="D456" s="139"/>
      <c r="E456" s="150"/>
      <c r="F456" s="153"/>
      <c r="G456" s="139"/>
      <c r="H456" s="139"/>
      <c r="I456" s="139"/>
      <c r="J456" s="139"/>
      <c r="K456" s="139"/>
    </row>
    <row r="457" spans="1:11" ht="20.25">
      <c r="A457" s="139"/>
      <c r="B457" s="139"/>
      <c r="C457" s="139"/>
      <c r="D457" s="139"/>
      <c r="E457" s="150"/>
      <c r="F457" s="153"/>
      <c r="G457" s="139"/>
      <c r="H457" s="139"/>
      <c r="I457" s="139"/>
      <c r="J457" s="139"/>
      <c r="K457" s="139"/>
    </row>
    <row r="458" spans="1:11" ht="20.25">
      <c r="A458" s="139"/>
      <c r="B458" s="139"/>
      <c r="C458" s="139"/>
      <c r="D458" s="139"/>
      <c r="E458" s="150"/>
      <c r="F458" s="153"/>
      <c r="G458" s="139"/>
      <c r="H458" s="139"/>
      <c r="I458" s="139"/>
      <c r="J458" s="139"/>
      <c r="K458" s="139"/>
    </row>
    <row r="459" spans="1:11" ht="20.25">
      <c r="A459" s="139"/>
      <c r="B459" s="139"/>
      <c r="C459" s="139"/>
      <c r="D459" s="139"/>
      <c r="E459" s="150"/>
      <c r="F459" s="153"/>
      <c r="G459" s="139"/>
      <c r="H459" s="139"/>
      <c r="I459" s="139"/>
      <c r="J459" s="139"/>
      <c r="K459" s="139"/>
    </row>
    <row r="460" spans="1:11" ht="20.25">
      <c r="A460" s="139"/>
      <c r="B460" s="139"/>
      <c r="C460" s="139"/>
      <c r="D460" s="139"/>
      <c r="E460" s="150"/>
      <c r="F460" s="153"/>
      <c r="G460" s="139"/>
      <c r="H460" s="139"/>
      <c r="I460" s="139"/>
      <c r="J460" s="139"/>
      <c r="K460" s="139"/>
    </row>
    <row r="461" spans="1:11" ht="20.25">
      <c r="A461" s="139"/>
      <c r="B461" s="139"/>
      <c r="C461" s="139"/>
      <c r="D461" s="139"/>
      <c r="E461" s="150"/>
      <c r="F461" s="153"/>
      <c r="G461" s="139"/>
      <c r="H461" s="139"/>
      <c r="I461" s="139"/>
      <c r="J461" s="139"/>
      <c r="K461" s="139"/>
    </row>
    <row r="462" spans="1:11" ht="20.25">
      <c r="A462" s="139"/>
      <c r="B462" s="139"/>
      <c r="C462" s="139"/>
      <c r="D462" s="139"/>
      <c r="E462" s="150"/>
      <c r="F462" s="153"/>
      <c r="G462" s="139"/>
      <c r="H462" s="139"/>
      <c r="I462" s="139"/>
      <c r="J462" s="139"/>
      <c r="K462" s="139"/>
    </row>
    <row r="463" spans="1:11" ht="20.25">
      <c r="A463" s="139"/>
      <c r="B463" s="139"/>
      <c r="C463" s="139"/>
      <c r="D463" s="139"/>
      <c r="E463" s="150"/>
      <c r="F463" s="153"/>
      <c r="G463" s="139"/>
      <c r="H463" s="139"/>
      <c r="I463" s="139"/>
      <c r="J463" s="139"/>
      <c r="K463" s="139"/>
    </row>
    <row r="464" spans="1:11" ht="20.25">
      <c r="A464" s="139"/>
      <c r="B464" s="139"/>
      <c r="C464" s="139"/>
      <c r="D464" s="139"/>
      <c r="E464" s="150"/>
      <c r="F464" s="153"/>
      <c r="G464" s="139"/>
      <c r="H464" s="139"/>
      <c r="I464" s="139"/>
      <c r="J464" s="139"/>
      <c r="K464" s="139"/>
    </row>
    <row r="465" spans="1:11" ht="20.25">
      <c r="A465" s="139"/>
      <c r="B465" s="139"/>
      <c r="C465" s="139"/>
      <c r="D465" s="139"/>
      <c r="E465" s="150"/>
      <c r="F465" s="153"/>
      <c r="G465" s="139"/>
      <c r="H465" s="139"/>
      <c r="I465" s="139"/>
      <c r="J465" s="139"/>
      <c r="K465" s="139"/>
    </row>
    <row r="466" spans="1:11" ht="20.25">
      <c r="A466" s="139"/>
      <c r="B466" s="139"/>
      <c r="C466" s="139"/>
      <c r="D466" s="139"/>
      <c r="E466" s="150"/>
      <c r="F466" s="153"/>
      <c r="G466" s="139"/>
      <c r="H466" s="139"/>
      <c r="I466" s="139"/>
      <c r="J466" s="139"/>
      <c r="K466" s="139"/>
    </row>
    <row r="467" spans="1:11" ht="20.25">
      <c r="A467" s="139"/>
      <c r="B467" s="139"/>
      <c r="C467" s="139"/>
      <c r="D467" s="139"/>
      <c r="E467" s="150"/>
      <c r="F467" s="153"/>
      <c r="G467" s="139"/>
      <c r="H467" s="139"/>
      <c r="I467" s="139"/>
      <c r="J467" s="139"/>
      <c r="K467" s="139"/>
    </row>
    <row r="468" spans="1:11" ht="20.25">
      <c r="A468" s="139"/>
      <c r="B468" s="139"/>
      <c r="C468" s="139"/>
      <c r="D468" s="139"/>
      <c r="E468" s="150"/>
      <c r="F468" s="153"/>
      <c r="G468" s="139"/>
      <c r="H468" s="139"/>
      <c r="I468" s="139"/>
      <c r="J468" s="139"/>
      <c r="K468" s="139"/>
    </row>
    <row r="469" spans="1:11" ht="20.25">
      <c r="A469" s="139"/>
      <c r="B469" s="139"/>
      <c r="C469" s="139"/>
      <c r="D469" s="139"/>
      <c r="E469" s="150"/>
      <c r="F469" s="153"/>
      <c r="G469" s="139"/>
      <c r="H469" s="139"/>
      <c r="I469" s="139"/>
      <c r="J469" s="139"/>
      <c r="K469" s="139"/>
    </row>
    <row r="470" spans="1:11" ht="20.25">
      <c r="A470" s="139"/>
      <c r="B470" s="139"/>
      <c r="C470" s="139"/>
      <c r="D470" s="139"/>
      <c r="E470" s="150"/>
      <c r="F470" s="153"/>
      <c r="G470" s="139"/>
      <c r="H470" s="139"/>
      <c r="I470" s="139"/>
      <c r="J470" s="139"/>
      <c r="K470" s="139"/>
    </row>
    <row r="471" spans="1:11" ht="20.25">
      <c r="A471" s="139"/>
      <c r="B471" s="139"/>
      <c r="C471" s="139"/>
      <c r="D471" s="139"/>
      <c r="E471" s="150"/>
      <c r="F471" s="153"/>
      <c r="G471" s="139"/>
      <c r="H471" s="139"/>
      <c r="I471" s="139"/>
      <c r="J471" s="139"/>
      <c r="K471" s="139"/>
    </row>
    <row r="472" spans="1:11" ht="20.25">
      <c r="A472" s="139"/>
      <c r="B472" s="139"/>
      <c r="C472" s="139"/>
      <c r="D472" s="139"/>
      <c r="E472" s="150"/>
      <c r="F472" s="153"/>
      <c r="G472" s="139"/>
      <c r="H472" s="139"/>
      <c r="I472" s="139"/>
      <c r="J472" s="139"/>
      <c r="K472" s="139"/>
    </row>
    <row r="473" spans="1:11" ht="20.25">
      <c r="A473" s="139"/>
      <c r="B473" s="139"/>
      <c r="C473" s="139"/>
      <c r="D473" s="139"/>
      <c r="E473" s="150"/>
      <c r="F473" s="153"/>
      <c r="G473" s="139"/>
      <c r="H473" s="139"/>
      <c r="I473" s="139"/>
      <c r="J473" s="139"/>
      <c r="K473" s="139"/>
    </row>
    <row r="474" spans="1:11" ht="20.25">
      <c r="A474" s="139"/>
      <c r="B474" s="139"/>
      <c r="C474" s="139"/>
      <c r="D474" s="139"/>
      <c r="E474" s="150"/>
      <c r="F474" s="153"/>
      <c r="G474" s="139"/>
      <c r="H474" s="139"/>
      <c r="I474" s="139"/>
      <c r="J474" s="139"/>
      <c r="K474" s="139"/>
    </row>
    <row r="475" spans="1:11" ht="20.25">
      <c r="A475" s="139"/>
      <c r="B475" s="139"/>
      <c r="C475" s="139"/>
      <c r="D475" s="139"/>
      <c r="E475" s="150"/>
      <c r="F475" s="153"/>
      <c r="G475" s="139"/>
      <c r="H475" s="139"/>
      <c r="I475" s="139"/>
      <c r="J475" s="139"/>
      <c r="K475" s="139"/>
    </row>
    <row r="476" spans="1:11" ht="20.25">
      <c r="A476" s="139"/>
      <c r="B476" s="139"/>
      <c r="C476" s="139"/>
      <c r="D476" s="139"/>
      <c r="E476" s="150"/>
      <c r="F476" s="153"/>
      <c r="G476" s="139"/>
      <c r="H476" s="139"/>
      <c r="I476" s="139"/>
      <c r="J476" s="139"/>
      <c r="K476" s="139"/>
    </row>
    <row r="477" spans="1:11" ht="20.25">
      <c r="A477" s="139"/>
      <c r="B477" s="139"/>
      <c r="C477" s="139"/>
      <c r="D477" s="139"/>
      <c r="E477" s="150"/>
      <c r="F477" s="153"/>
      <c r="G477" s="139"/>
      <c r="H477" s="139"/>
      <c r="I477" s="139"/>
      <c r="J477" s="139"/>
      <c r="K477" s="139"/>
    </row>
    <row r="478" spans="1:11" ht="20.25">
      <c r="A478" s="139"/>
      <c r="B478" s="139"/>
      <c r="C478" s="139"/>
      <c r="D478" s="139"/>
      <c r="E478" s="150"/>
      <c r="F478" s="153"/>
      <c r="G478" s="139"/>
      <c r="H478" s="139"/>
      <c r="I478" s="139"/>
      <c r="J478" s="139"/>
      <c r="K478" s="139"/>
    </row>
    <row r="479" spans="1:11" ht="20.25">
      <c r="A479" s="139"/>
      <c r="B479" s="139"/>
      <c r="C479" s="139"/>
      <c r="D479" s="139"/>
      <c r="E479" s="150"/>
      <c r="F479" s="153"/>
      <c r="G479" s="139"/>
      <c r="H479" s="139"/>
      <c r="I479" s="139"/>
      <c r="J479" s="139"/>
      <c r="K479" s="139"/>
    </row>
    <row r="480" spans="1:11" ht="20.25">
      <c r="A480" s="139"/>
      <c r="B480" s="139"/>
      <c r="C480" s="139"/>
      <c r="D480" s="139"/>
      <c r="E480" s="150"/>
      <c r="F480" s="153"/>
      <c r="G480" s="139"/>
      <c r="H480" s="139"/>
      <c r="I480" s="139"/>
      <c r="J480" s="139"/>
      <c r="K480" s="139"/>
    </row>
    <row r="481" spans="1:11" ht="20.25">
      <c r="A481" s="139"/>
      <c r="B481" s="139"/>
      <c r="C481" s="139"/>
      <c r="D481" s="139"/>
      <c r="E481" s="150"/>
      <c r="F481" s="153"/>
      <c r="G481" s="139"/>
      <c r="H481" s="139"/>
      <c r="I481" s="139"/>
      <c r="J481" s="139"/>
      <c r="K481" s="139"/>
    </row>
    <row r="482" spans="1:11" ht="20.25">
      <c r="A482" s="139"/>
      <c r="B482" s="139"/>
      <c r="C482" s="139"/>
      <c r="D482" s="139"/>
      <c r="E482" s="150"/>
      <c r="F482" s="153"/>
      <c r="G482" s="139"/>
      <c r="H482" s="139"/>
      <c r="I482" s="139"/>
      <c r="J482" s="139"/>
      <c r="K482" s="139"/>
    </row>
    <row r="483" spans="1:11" ht="20.25">
      <c r="A483" s="139"/>
      <c r="B483" s="139"/>
      <c r="C483" s="139"/>
      <c r="D483" s="139"/>
      <c r="E483" s="150"/>
      <c r="F483" s="153"/>
      <c r="G483" s="139"/>
      <c r="H483" s="139"/>
      <c r="I483" s="139"/>
      <c r="J483" s="139"/>
      <c r="K483" s="139"/>
    </row>
    <row r="484" spans="1:11" ht="20.25">
      <c r="A484" s="139"/>
      <c r="B484" s="139"/>
      <c r="C484" s="139"/>
      <c r="D484" s="139"/>
      <c r="E484" s="150"/>
      <c r="F484" s="153"/>
      <c r="G484" s="139"/>
      <c r="H484" s="139"/>
      <c r="I484" s="139"/>
      <c r="J484" s="139"/>
      <c r="K484" s="139"/>
    </row>
    <row r="485" spans="1:11" ht="20.25">
      <c r="A485" s="139"/>
      <c r="B485" s="139"/>
      <c r="C485" s="139"/>
      <c r="D485" s="139"/>
      <c r="E485" s="150"/>
      <c r="F485" s="153"/>
      <c r="G485" s="139"/>
      <c r="H485" s="139"/>
      <c r="I485" s="139"/>
      <c r="J485" s="139"/>
      <c r="K485" s="139"/>
    </row>
    <row r="486" spans="1:11" ht="20.25">
      <c r="A486" s="139"/>
      <c r="B486" s="139"/>
      <c r="C486" s="139"/>
      <c r="D486" s="139"/>
      <c r="E486" s="150"/>
      <c r="F486" s="153"/>
      <c r="G486" s="139"/>
      <c r="H486" s="139"/>
      <c r="I486" s="139"/>
      <c r="J486" s="139"/>
      <c r="K486" s="139"/>
    </row>
    <row r="487" spans="1:11" ht="20.25">
      <c r="A487" s="139"/>
      <c r="B487" s="139"/>
      <c r="C487" s="139"/>
      <c r="D487" s="139"/>
      <c r="E487" s="150"/>
      <c r="F487" s="153"/>
      <c r="G487" s="139"/>
      <c r="H487" s="139"/>
      <c r="I487" s="139"/>
      <c r="J487" s="139"/>
      <c r="K487" s="139"/>
    </row>
    <row r="488" spans="1:11" ht="20.25">
      <c r="A488" s="139"/>
      <c r="B488" s="139"/>
      <c r="C488" s="139"/>
      <c r="D488" s="139"/>
      <c r="E488" s="150"/>
      <c r="F488" s="153"/>
      <c r="G488" s="139"/>
      <c r="H488" s="139"/>
      <c r="I488" s="139"/>
      <c r="J488" s="139"/>
      <c r="K488" s="139"/>
    </row>
    <row r="489" spans="1:11" ht="20.25">
      <c r="A489" s="139"/>
      <c r="B489" s="139"/>
      <c r="C489" s="139"/>
      <c r="D489" s="139"/>
      <c r="E489" s="150"/>
      <c r="F489" s="153"/>
      <c r="G489" s="139"/>
      <c r="H489" s="139"/>
      <c r="I489" s="139"/>
      <c r="J489" s="139"/>
      <c r="K489" s="139"/>
    </row>
    <row r="490" spans="1:11" ht="20.25">
      <c r="A490" s="139"/>
      <c r="B490" s="139"/>
      <c r="C490" s="139"/>
      <c r="D490" s="139"/>
      <c r="E490" s="150"/>
      <c r="F490" s="153"/>
      <c r="G490" s="139"/>
      <c r="H490" s="139"/>
      <c r="I490" s="139"/>
      <c r="J490" s="139"/>
      <c r="K490" s="139"/>
    </row>
    <row r="491" spans="1:11" ht="20.25">
      <c r="A491" s="139"/>
      <c r="B491" s="139"/>
      <c r="C491" s="139"/>
      <c r="D491" s="139"/>
      <c r="E491" s="150"/>
      <c r="F491" s="153"/>
      <c r="G491" s="139"/>
      <c r="H491" s="139"/>
      <c r="I491" s="139"/>
      <c r="J491" s="139"/>
      <c r="K491" s="139"/>
    </row>
    <row r="492" spans="1:11" ht="20.25">
      <c r="A492" s="139"/>
      <c r="B492" s="139"/>
      <c r="C492" s="139"/>
      <c r="D492" s="139"/>
      <c r="E492" s="150"/>
      <c r="F492" s="153"/>
      <c r="G492" s="139"/>
      <c r="H492" s="139"/>
      <c r="I492" s="139"/>
      <c r="J492" s="139"/>
      <c r="K492" s="139"/>
    </row>
    <row r="493" spans="1:11" ht="20.25">
      <c r="A493" s="139"/>
      <c r="B493" s="139"/>
      <c r="C493" s="139"/>
      <c r="D493" s="139"/>
      <c r="E493" s="150"/>
      <c r="F493" s="153"/>
      <c r="G493" s="139"/>
      <c r="H493" s="139"/>
      <c r="I493" s="139"/>
      <c r="J493" s="139"/>
      <c r="K493" s="139"/>
    </row>
    <row r="494" spans="1:11" ht="20.25">
      <c r="A494" s="139"/>
      <c r="B494" s="139"/>
      <c r="C494" s="139"/>
      <c r="D494" s="139"/>
      <c r="E494" s="150"/>
      <c r="F494" s="153"/>
      <c r="G494" s="139"/>
      <c r="H494" s="139"/>
      <c r="I494" s="139"/>
      <c r="J494" s="139"/>
      <c r="K494" s="139"/>
    </row>
    <row r="495" spans="1:11" ht="20.25">
      <c r="A495" s="139"/>
      <c r="B495" s="139"/>
      <c r="C495" s="139"/>
      <c r="D495" s="139"/>
      <c r="E495" s="150"/>
      <c r="F495" s="153"/>
      <c r="G495" s="139"/>
      <c r="H495" s="139"/>
      <c r="I495" s="139"/>
      <c r="J495" s="139"/>
      <c r="K495" s="139"/>
    </row>
    <row r="496" spans="1:11" ht="20.25">
      <c r="A496" s="139"/>
      <c r="B496" s="139"/>
      <c r="C496" s="139"/>
      <c r="D496" s="139"/>
      <c r="E496" s="150"/>
      <c r="F496" s="153"/>
      <c r="G496" s="139"/>
      <c r="H496" s="139"/>
      <c r="I496" s="139"/>
      <c r="J496" s="139"/>
      <c r="K496" s="139"/>
    </row>
    <row r="497" spans="1:11" ht="20.25">
      <c r="A497" s="139"/>
      <c r="B497" s="139"/>
      <c r="C497" s="139"/>
      <c r="D497" s="139"/>
      <c r="E497" s="150"/>
      <c r="F497" s="153"/>
      <c r="G497" s="139"/>
      <c r="H497" s="139"/>
      <c r="I497" s="139"/>
      <c r="J497" s="139"/>
      <c r="K497" s="139"/>
    </row>
    <row r="498" spans="1:11" ht="20.25">
      <c r="A498" s="139"/>
      <c r="B498" s="139"/>
      <c r="C498" s="139"/>
      <c r="D498" s="139"/>
      <c r="E498" s="150"/>
      <c r="F498" s="153"/>
      <c r="G498" s="139"/>
      <c r="H498" s="139"/>
      <c r="I498" s="139"/>
      <c r="J498" s="139"/>
      <c r="K498" s="139"/>
    </row>
    <row r="499" spans="1:11" ht="20.25">
      <c r="A499" s="139"/>
      <c r="B499" s="139"/>
      <c r="C499" s="139"/>
      <c r="D499" s="139"/>
      <c r="E499" s="150"/>
      <c r="F499" s="153"/>
      <c r="G499" s="139"/>
      <c r="H499" s="139"/>
      <c r="I499" s="139"/>
      <c r="J499" s="139"/>
      <c r="K499" s="139"/>
    </row>
    <row r="500" spans="1:11" ht="20.25">
      <c r="A500" s="139"/>
      <c r="B500" s="139"/>
      <c r="C500" s="139"/>
      <c r="D500" s="139"/>
      <c r="E500" s="150"/>
      <c r="F500" s="153"/>
      <c r="G500" s="139"/>
      <c r="H500" s="139"/>
      <c r="I500" s="139"/>
      <c r="J500" s="139"/>
      <c r="K500" s="139"/>
    </row>
    <row r="501" spans="1:11" ht="20.25">
      <c r="A501" s="139"/>
      <c r="B501" s="139"/>
      <c r="C501" s="139"/>
      <c r="D501" s="139"/>
      <c r="E501" s="150"/>
      <c r="F501" s="153"/>
      <c r="G501" s="139"/>
      <c r="H501" s="139"/>
      <c r="I501" s="139"/>
      <c r="J501" s="139"/>
      <c r="K501" s="139"/>
    </row>
    <row r="502" spans="1:11" ht="20.25">
      <c r="A502" s="139"/>
      <c r="B502" s="139"/>
      <c r="C502" s="139"/>
      <c r="D502" s="139"/>
      <c r="E502" s="150"/>
      <c r="F502" s="153"/>
      <c r="G502" s="139"/>
      <c r="H502" s="139"/>
      <c r="I502" s="139"/>
      <c r="J502" s="139"/>
      <c r="K502" s="139"/>
    </row>
    <row r="503" spans="1:11" ht="20.25">
      <c r="A503" s="139"/>
      <c r="B503" s="139"/>
      <c r="C503" s="139"/>
      <c r="D503" s="139"/>
      <c r="E503" s="150"/>
      <c r="F503" s="153"/>
      <c r="G503" s="139"/>
      <c r="H503" s="139"/>
      <c r="I503" s="139"/>
      <c r="J503" s="139"/>
      <c r="K503" s="139"/>
    </row>
    <row r="504" spans="1:11" ht="20.25">
      <c r="A504" s="139"/>
      <c r="B504" s="139"/>
      <c r="C504" s="139"/>
      <c r="D504" s="139"/>
      <c r="E504" s="150"/>
      <c r="F504" s="153"/>
      <c r="G504" s="139"/>
      <c r="H504" s="139"/>
      <c r="I504" s="139"/>
      <c r="J504" s="139"/>
      <c r="K504" s="139"/>
    </row>
    <row r="505" spans="1:11" ht="20.25">
      <c r="A505" s="139"/>
      <c r="B505" s="139"/>
      <c r="C505" s="139"/>
      <c r="D505" s="139"/>
      <c r="E505" s="150"/>
      <c r="F505" s="153"/>
      <c r="G505" s="139"/>
      <c r="H505" s="139"/>
      <c r="I505" s="139"/>
      <c r="J505" s="139"/>
      <c r="K505" s="139"/>
    </row>
    <row r="506" spans="1:11" ht="20.25">
      <c r="A506" s="139"/>
      <c r="B506" s="139"/>
      <c r="C506" s="139"/>
      <c r="D506" s="139"/>
      <c r="E506" s="150"/>
      <c r="F506" s="153"/>
      <c r="G506" s="139"/>
      <c r="H506" s="139"/>
      <c r="I506" s="139"/>
      <c r="J506" s="139"/>
      <c r="K506" s="139"/>
    </row>
    <row r="507" spans="1:11" ht="20.25">
      <c r="A507" s="139"/>
      <c r="B507" s="139"/>
      <c r="C507" s="139"/>
      <c r="D507" s="139"/>
      <c r="E507" s="150"/>
      <c r="F507" s="153"/>
      <c r="G507" s="139"/>
      <c r="H507" s="139"/>
      <c r="I507" s="139"/>
      <c r="J507" s="139"/>
      <c r="K507" s="139"/>
    </row>
    <row r="508" spans="1:11" ht="20.25">
      <c r="A508" s="139"/>
      <c r="B508" s="139"/>
      <c r="C508" s="139"/>
      <c r="D508" s="139"/>
      <c r="E508" s="150"/>
      <c r="F508" s="153"/>
      <c r="G508" s="139"/>
      <c r="H508" s="139"/>
      <c r="I508" s="139"/>
      <c r="J508" s="139"/>
      <c r="K508" s="139"/>
    </row>
    <row r="509" spans="1:11" ht="20.25">
      <c r="A509" s="139"/>
      <c r="B509" s="139"/>
      <c r="C509" s="139"/>
      <c r="D509" s="139"/>
      <c r="E509" s="150"/>
      <c r="F509" s="153"/>
      <c r="G509" s="139"/>
      <c r="H509" s="139"/>
      <c r="I509" s="139"/>
      <c r="J509" s="139"/>
      <c r="K509" s="139"/>
    </row>
    <row r="510" spans="1:11" ht="20.25">
      <c r="A510" s="139"/>
      <c r="B510" s="139"/>
      <c r="C510" s="139"/>
      <c r="D510" s="139"/>
      <c r="E510" s="150"/>
      <c r="F510" s="153"/>
      <c r="G510" s="139"/>
      <c r="H510" s="139"/>
      <c r="I510" s="139"/>
      <c r="J510" s="139"/>
      <c r="K510" s="139"/>
    </row>
    <row r="511" spans="1:11" ht="20.25">
      <c r="A511" s="139"/>
      <c r="B511" s="139"/>
      <c r="C511" s="139"/>
      <c r="D511" s="139"/>
      <c r="E511" s="150"/>
      <c r="F511" s="153"/>
      <c r="G511" s="139"/>
      <c r="H511" s="139"/>
      <c r="I511" s="139"/>
      <c r="J511" s="139"/>
      <c r="K511" s="139"/>
    </row>
    <row r="512" spans="1:11" ht="20.25">
      <c r="A512" s="139"/>
      <c r="B512" s="139"/>
      <c r="C512" s="139"/>
      <c r="D512" s="139"/>
      <c r="E512" s="150"/>
      <c r="F512" s="153"/>
      <c r="G512" s="139"/>
      <c r="H512" s="139"/>
      <c r="I512" s="139"/>
      <c r="J512" s="139"/>
      <c r="K512" s="139"/>
    </row>
    <row r="513" spans="1:11" ht="20.25">
      <c r="A513" s="139"/>
      <c r="B513" s="139"/>
      <c r="C513" s="139"/>
      <c r="D513" s="139"/>
      <c r="E513" s="150"/>
      <c r="F513" s="153"/>
      <c r="G513" s="139"/>
      <c r="H513" s="139"/>
      <c r="I513" s="139"/>
      <c r="J513" s="139"/>
      <c r="K513" s="139"/>
    </row>
    <row r="514" spans="1:11" ht="20.25">
      <c r="A514" s="139"/>
      <c r="B514" s="139"/>
      <c r="C514" s="139"/>
      <c r="D514" s="139"/>
      <c r="E514" s="150"/>
      <c r="F514" s="153"/>
      <c r="G514" s="139"/>
      <c r="H514" s="139"/>
      <c r="I514" s="139"/>
      <c r="J514" s="139"/>
      <c r="K514" s="139"/>
    </row>
    <row r="515" spans="1:11" ht="20.25">
      <c r="A515" s="139"/>
      <c r="B515" s="139"/>
      <c r="C515" s="139"/>
      <c r="D515" s="139"/>
      <c r="E515" s="150"/>
      <c r="F515" s="153"/>
      <c r="G515" s="139"/>
      <c r="H515" s="139"/>
      <c r="I515" s="139"/>
      <c r="J515" s="139"/>
      <c r="K515" s="139"/>
    </row>
    <row r="516" spans="1:11" ht="20.25">
      <c r="A516" s="139"/>
      <c r="B516" s="139"/>
      <c r="C516" s="139"/>
      <c r="D516" s="139"/>
      <c r="E516" s="150"/>
      <c r="F516" s="153"/>
      <c r="G516" s="139"/>
      <c r="H516" s="139"/>
      <c r="I516" s="139"/>
      <c r="J516" s="139"/>
      <c r="K516" s="139"/>
    </row>
    <row r="517" spans="1:11" ht="20.25">
      <c r="A517" s="139"/>
      <c r="B517" s="139"/>
      <c r="C517" s="139"/>
      <c r="D517" s="139"/>
      <c r="E517" s="150"/>
      <c r="F517" s="153"/>
      <c r="G517" s="139"/>
      <c r="H517" s="139"/>
      <c r="I517" s="139"/>
      <c r="J517" s="139"/>
      <c r="K517" s="139"/>
    </row>
    <row r="518" spans="1:11" ht="20.25">
      <c r="A518" s="139"/>
      <c r="B518" s="139"/>
      <c r="C518" s="139"/>
      <c r="D518" s="139"/>
      <c r="E518" s="150"/>
      <c r="F518" s="153"/>
      <c r="G518" s="139"/>
      <c r="H518" s="139"/>
      <c r="I518" s="139"/>
      <c r="J518" s="139"/>
      <c r="K518" s="139"/>
    </row>
    <row r="519" spans="1:11" ht="20.25">
      <c r="A519" s="139"/>
      <c r="B519" s="139"/>
      <c r="C519" s="139"/>
      <c r="D519" s="139"/>
      <c r="E519" s="150"/>
      <c r="F519" s="153"/>
      <c r="G519" s="139"/>
      <c r="H519" s="139"/>
      <c r="I519" s="139"/>
      <c r="J519" s="139"/>
      <c r="K519" s="139"/>
    </row>
    <row r="520" spans="1:11" ht="20.25">
      <c r="A520" s="139"/>
      <c r="B520" s="139"/>
      <c r="C520" s="139"/>
      <c r="D520" s="139"/>
      <c r="E520" s="150"/>
      <c r="F520" s="153"/>
      <c r="G520" s="139"/>
      <c r="H520" s="139"/>
      <c r="I520" s="139"/>
      <c r="J520" s="139"/>
      <c r="K520" s="139"/>
    </row>
    <row r="521" spans="1:11" ht="20.25">
      <c r="A521" s="139"/>
      <c r="B521" s="139"/>
      <c r="C521" s="139"/>
      <c r="D521" s="139"/>
      <c r="E521" s="150"/>
      <c r="F521" s="153"/>
      <c r="G521" s="139"/>
      <c r="H521" s="139"/>
      <c r="I521" s="139"/>
      <c r="J521" s="139"/>
      <c r="K521" s="139"/>
    </row>
    <row r="522" spans="1:11" ht="20.25">
      <c r="A522" s="139"/>
      <c r="B522" s="139"/>
      <c r="C522" s="139"/>
      <c r="D522" s="139"/>
      <c r="E522" s="150"/>
      <c r="F522" s="153"/>
      <c r="G522" s="139"/>
      <c r="H522" s="139"/>
      <c r="I522" s="139"/>
      <c r="J522" s="139"/>
      <c r="K522" s="139"/>
    </row>
    <row r="523" spans="1:11" ht="20.25">
      <c r="A523" s="139"/>
      <c r="B523" s="139"/>
      <c r="C523" s="139"/>
      <c r="D523" s="139"/>
      <c r="E523" s="150"/>
      <c r="F523" s="153"/>
      <c r="G523" s="139"/>
      <c r="H523" s="139"/>
      <c r="I523" s="139"/>
      <c r="J523" s="139"/>
      <c r="K523" s="139"/>
    </row>
    <row r="524" spans="1:11" ht="20.25">
      <c r="A524" s="139"/>
      <c r="B524" s="139"/>
      <c r="C524" s="139"/>
      <c r="D524" s="139"/>
      <c r="E524" s="150"/>
      <c r="F524" s="153"/>
      <c r="G524" s="139"/>
      <c r="H524" s="139"/>
      <c r="I524" s="139"/>
      <c r="J524" s="139"/>
      <c r="K524" s="139"/>
    </row>
    <row r="525" spans="1:11" ht="20.25">
      <c r="A525" s="139"/>
      <c r="B525" s="139"/>
      <c r="C525" s="139"/>
      <c r="D525" s="139"/>
      <c r="E525" s="150"/>
      <c r="F525" s="153"/>
      <c r="G525" s="139"/>
      <c r="H525" s="139"/>
      <c r="I525" s="139"/>
      <c r="J525" s="139"/>
      <c r="K525" s="139"/>
    </row>
    <row r="526" spans="1:11" ht="20.25">
      <c r="A526" s="139"/>
      <c r="B526" s="139"/>
      <c r="C526" s="139"/>
      <c r="D526" s="139"/>
      <c r="E526" s="150"/>
      <c r="F526" s="153"/>
      <c r="G526" s="139"/>
      <c r="H526" s="139"/>
      <c r="I526" s="139"/>
      <c r="J526" s="139"/>
      <c r="K526" s="139"/>
    </row>
    <row r="527" spans="1:11" ht="20.25">
      <c r="A527" s="139"/>
      <c r="B527" s="139"/>
      <c r="C527" s="139"/>
      <c r="D527" s="139"/>
      <c r="E527" s="150"/>
      <c r="F527" s="153"/>
      <c r="G527" s="139"/>
      <c r="H527" s="139"/>
      <c r="I527" s="139"/>
      <c r="J527" s="139"/>
      <c r="K527" s="139"/>
    </row>
    <row r="528" spans="1:11" ht="20.25">
      <c r="A528" s="139"/>
      <c r="B528" s="139"/>
      <c r="C528" s="139"/>
      <c r="D528" s="139"/>
      <c r="E528" s="150"/>
      <c r="F528" s="153"/>
      <c r="G528" s="139"/>
      <c r="H528" s="139"/>
      <c r="I528" s="139"/>
      <c r="J528" s="139"/>
      <c r="K528" s="139"/>
    </row>
    <row r="529" spans="1:11" ht="20.25">
      <c r="A529" s="139"/>
      <c r="B529" s="139"/>
      <c r="C529" s="139"/>
      <c r="D529" s="139"/>
      <c r="E529" s="150"/>
      <c r="F529" s="153"/>
      <c r="G529" s="139"/>
      <c r="H529" s="139"/>
      <c r="I529" s="139"/>
      <c r="J529" s="139"/>
      <c r="K529" s="139"/>
    </row>
    <row r="530" spans="1:11" ht="20.25">
      <c r="A530" s="139"/>
      <c r="B530" s="139"/>
      <c r="C530" s="139"/>
      <c r="D530" s="139"/>
      <c r="E530" s="150"/>
      <c r="F530" s="153"/>
      <c r="G530" s="139"/>
      <c r="H530" s="139"/>
      <c r="I530" s="139"/>
      <c r="J530" s="139"/>
      <c r="K530" s="139"/>
    </row>
    <row r="531" spans="1:11" ht="20.25">
      <c r="A531" s="139"/>
      <c r="B531" s="139"/>
      <c r="C531" s="139"/>
      <c r="D531" s="139"/>
      <c r="E531" s="150"/>
      <c r="F531" s="153"/>
      <c r="G531" s="139"/>
      <c r="H531" s="139"/>
      <c r="I531" s="139"/>
      <c r="J531" s="139"/>
      <c r="K531" s="139"/>
    </row>
    <row r="532" spans="1:11" ht="20.25">
      <c r="A532" s="139"/>
      <c r="B532" s="139"/>
      <c r="C532" s="139"/>
      <c r="D532" s="139"/>
      <c r="E532" s="150"/>
      <c r="F532" s="153"/>
      <c r="G532" s="139"/>
      <c r="H532" s="139"/>
      <c r="I532" s="139"/>
      <c r="J532" s="139"/>
      <c r="K532" s="139"/>
    </row>
    <row r="533" spans="1:11" ht="20.25">
      <c r="A533" s="139"/>
      <c r="B533" s="139"/>
      <c r="C533" s="139"/>
      <c r="D533" s="139"/>
      <c r="E533" s="150"/>
      <c r="F533" s="153"/>
      <c r="G533" s="139"/>
      <c r="H533" s="139"/>
      <c r="I533" s="139"/>
      <c r="J533" s="139"/>
      <c r="K533" s="139"/>
    </row>
    <row r="534" spans="1:11" ht="20.25">
      <c r="A534" s="139"/>
      <c r="B534" s="139"/>
      <c r="C534" s="139"/>
      <c r="D534" s="139"/>
      <c r="E534" s="150"/>
      <c r="F534" s="153"/>
      <c r="G534" s="139"/>
      <c r="H534" s="139"/>
      <c r="I534" s="139"/>
      <c r="J534" s="139"/>
      <c r="K534" s="139"/>
    </row>
    <row r="535" spans="1:11" ht="20.25">
      <c r="A535" s="139"/>
      <c r="B535" s="139"/>
      <c r="C535" s="139"/>
      <c r="D535" s="139"/>
      <c r="E535" s="150"/>
      <c r="F535" s="153"/>
      <c r="G535" s="139"/>
      <c r="H535" s="139"/>
      <c r="I535" s="139"/>
      <c r="J535" s="139"/>
      <c r="K535" s="139"/>
    </row>
    <row r="536" spans="1:11" ht="20.25">
      <c r="A536" s="139"/>
      <c r="B536" s="139"/>
      <c r="C536" s="139"/>
      <c r="D536" s="139"/>
      <c r="E536" s="150"/>
      <c r="F536" s="153"/>
      <c r="G536" s="139"/>
      <c r="H536" s="139"/>
      <c r="I536" s="139"/>
      <c r="J536" s="139"/>
      <c r="K536" s="139"/>
    </row>
    <row r="537" spans="1:11" ht="20.25">
      <c r="A537" s="139"/>
      <c r="B537" s="139"/>
      <c r="C537" s="139"/>
      <c r="D537" s="139"/>
      <c r="E537" s="150"/>
      <c r="F537" s="153"/>
      <c r="G537" s="139"/>
      <c r="H537" s="139"/>
      <c r="I537" s="139"/>
      <c r="J537" s="139"/>
      <c r="K537" s="139"/>
    </row>
    <row r="538" spans="1:11" ht="20.25">
      <c r="A538" s="139"/>
      <c r="B538" s="139"/>
      <c r="C538" s="139"/>
      <c r="D538" s="139"/>
      <c r="E538" s="150"/>
      <c r="F538" s="153"/>
      <c r="G538" s="139"/>
      <c r="H538" s="139"/>
      <c r="I538" s="139"/>
      <c r="J538" s="139"/>
      <c r="K538" s="139"/>
    </row>
    <row r="539" spans="1:11" ht="20.25">
      <c r="A539" s="139"/>
      <c r="B539" s="139"/>
      <c r="C539" s="139"/>
      <c r="D539" s="139"/>
      <c r="E539" s="150"/>
      <c r="F539" s="153"/>
      <c r="G539" s="139"/>
      <c r="H539" s="139"/>
      <c r="I539" s="139"/>
      <c r="J539" s="139"/>
      <c r="K539" s="139"/>
    </row>
    <row r="540" spans="1:11" ht="20.25">
      <c r="A540" s="139"/>
      <c r="B540" s="139"/>
      <c r="C540" s="139"/>
      <c r="D540" s="139"/>
      <c r="E540" s="150"/>
      <c r="F540" s="153"/>
      <c r="G540" s="139"/>
      <c r="H540" s="139"/>
      <c r="I540" s="139"/>
      <c r="J540" s="139"/>
      <c r="K540" s="139"/>
    </row>
    <row r="541" spans="1:11" ht="20.25">
      <c r="A541" s="139"/>
      <c r="B541" s="139"/>
      <c r="C541" s="139"/>
      <c r="D541" s="139"/>
      <c r="E541" s="150"/>
      <c r="F541" s="153"/>
      <c r="G541" s="139"/>
      <c r="H541" s="139"/>
      <c r="I541" s="139"/>
      <c r="J541" s="139"/>
      <c r="K541" s="139"/>
    </row>
    <row r="542" spans="1:11" ht="20.25">
      <c r="A542" s="139"/>
      <c r="B542" s="139"/>
      <c r="C542" s="139"/>
      <c r="D542" s="139"/>
      <c r="E542" s="150"/>
      <c r="F542" s="153"/>
      <c r="G542" s="139"/>
      <c r="H542" s="139"/>
      <c r="I542" s="139"/>
      <c r="J542" s="139"/>
      <c r="K542" s="139"/>
    </row>
    <row r="543" spans="1:11" ht="20.25">
      <c r="A543" s="139"/>
      <c r="B543" s="139"/>
      <c r="C543" s="139"/>
      <c r="D543" s="139"/>
      <c r="E543" s="150"/>
      <c r="F543" s="153"/>
      <c r="G543" s="139"/>
      <c r="H543" s="139"/>
      <c r="I543" s="139"/>
      <c r="J543" s="139"/>
      <c r="K543" s="139"/>
    </row>
    <row r="544" spans="1:11" ht="20.25">
      <c r="A544" s="139"/>
      <c r="B544" s="139"/>
      <c r="C544" s="139"/>
      <c r="D544" s="139"/>
      <c r="E544" s="150"/>
      <c r="F544" s="153"/>
      <c r="G544" s="139"/>
      <c r="H544" s="139"/>
      <c r="I544" s="139"/>
      <c r="J544" s="139"/>
      <c r="K544" s="139"/>
    </row>
    <row r="545" spans="1:11" ht="20.25">
      <c r="A545" s="139"/>
      <c r="B545" s="139"/>
      <c r="C545" s="139"/>
      <c r="D545" s="139"/>
      <c r="E545" s="150"/>
      <c r="F545" s="153"/>
      <c r="G545" s="139"/>
      <c r="H545" s="139"/>
      <c r="I545" s="139"/>
      <c r="J545" s="139"/>
      <c r="K545" s="139"/>
    </row>
    <row r="546" spans="1:11" ht="20.25">
      <c r="A546" s="139"/>
      <c r="B546" s="139"/>
      <c r="C546" s="139"/>
      <c r="D546" s="139"/>
      <c r="E546" s="150"/>
      <c r="F546" s="153"/>
      <c r="G546" s="139"/>
      <c r="H546" s="139"/>
      <c r="I546" s="139"/>
      <c r="J546" s="139"/>
      <c r="K546" s="139"/>
    </row>
    <row r="547" spans="1:11" ht="20.25">
      <c r="A547" s="139"/>
      <c r="B547" s="139"/>
      <c r="C547" s="139"/>
      <c r="D547" s="139"/>
      <c r="E547" s="150"/>
      <c r="F547" s="153"/>
      <c r="G547" s="139"/>
      <c r="H547" s="139"/>
      <c r="I547" s="139"/>
      <c r="J547" s="139"/>
      <c r="K547" s="139"/>
    </row>
    <row r="548" spans="1:11" ht="20.25">
      <c r="A548" s="139"/>
      <c r="B548" s="139"/>
      <c r="C548" s="139"/>
      <c r="D548" s="139"/>
      <c r="E548" s="150"/>
      <c r="F548" s="153"/>
      <c r="G548" s="139"/>
      <c r="H548" s="139"/>
      <c r="I548" s="139"/>
      <c r="J548" s="139"/>
      <c r="K548" s="139"/>
    </row>
    <row r="549" spans="1:11" ht="20.25">
      <c r="A549" s="139"/>
      <c r="B549" s="139"/>
      <c r="C549" s="139"/>
      <c r="D549" s="139"/>
      <c r="E549" s="150"/>
      <c r="F549" s="153"/>
      <c r="G549" s="139"/>
      <c r="H549" s="139"/>
      <c r="I549" s="139"/>
      <c r="J549" s="139"/>
      <c r="K549" s="139"/>
    </row>
    <row r="550" spans="1:11" ht="20.25">
      <c r="A550" s="139"/>
      <c r="B550" s="139"/>
      <c r="C550" s="139"/>
      <c r="D550" s="139"/>
      <c r="E550" s="150"/>
      <c r="F550" s="153"/>
      <c r="G550" s="139"/>
      <c r="H550" s="139"/>
      <c r="I550" s="139"/>
      <c r="J550" s="139"/>
      <c r="K550" s="139"/>
    </row>
    <row r="551" spans="1:11" ht="20.25">
      <c r="A551" s="139"/>
      <c r="B551" s="139"/>
      <c r="C551" s="139"/>
      <c r="D551" s="139"/>
      <c r="E551" s="150"/>
      <c r="F551" s="153"/>
      <c r="G551" s="139"/>
      <c r="H551" s="139"/>
      <c r="I551" s="139"/>
      <c r="J551" s="139"/>
      <c r="K551" s="139"/>
    </row>
    <row r="552" spans="1:11" ht="20.25">
      <c r="A552" s="139"/>
      <c r="B552" s="139"/>
      <c r="C552" s="139"/>
      <c r="D552" s="139"/>
      <c r="E552" s="150"/>
      <c r="F552" s="153"/>
      <c r="G552" s="139"/>
      <c r="H552" s="139"/>
      <c r="I552" s="139"/>
      <c r="J552" s="139"/>
      <c r="K552" s="139"/>
    </row>
    <row r="553" spans="1:11" ht="20.25">
      <c r="A553" s="139"/>
      <c r="B553" s="139"/>
      <c r="C553" s="139"/>
      <c r="D553" s="139"/>
      <c r="E553" s="150"/>
      <c r="F553" s="153"/>
      <c r="G553" s="139"/>
      <c r="H553" s="139"/>
      <c r="I553" s="139"/>
      <c r="J553" s="139"/>
      <c r="K553" s="139"/>
    </row>
    <row r="554" spans="1:11" ht="20.25">
      <c r="A554" s="139"/>
      <c r="B554" s="139"/>
      <c r="C554" s="139"/>
      <c r="D554" s="139"/>
      <c r="E554" s="150"/>
      <c r="F554" s="153"/>
      <c r="G554" s="139"/>
      <c r="H554" s="139"/>
      <c r="I554" s="139"/>
      <c r="J554" s="139"/>
      <c r="K554" s="139"/>
    </row>
    <row r="555" spans="1:11" ht="20.25">
      <c r="A555" s="139"/>
      <c r="B555" s="139"/>
      <c r="C555" s="139"/>
      <c r="D555" s="139"/>
      <c r="E555" s="150"/>
      <c r="F555" s="153"/>
      <c r="G555" s="139"/>
      <c r="H555" s="139"/>
      <c r="I555" s="139"/>
      <c r="J555" s="139"/>
      <c r="K555" s="139"/>
    </row>
    <row r="556" spans="1:11" ht="20.25">
      <c r="A556" s="139"/>
      <c r="B556" s="139"/>
      <c r="C556" s="139"/>
      <c r="D556" s="139"/>
      <c r="E556" s="150"/>
      <c r="F556" s="153"/>
      <c r="G556" s="139"/>
      <c r="H556" s="139"/>
      <c r="I556" s="139"/>
      <c r="J556" s="139"/>
      <c r="K556" s="139"/>
    </row>
    <row r="557" spans="1:11" ht="20.25">
      <c r="A557" s="139"/>
      <c r="B557" s="139"/>
      <c r="C557" s="139"/>
      <c r="D557" s="139"/>
      <c r="E557" s="150"/>
      <c r="F557" s="153"/>
      <c r="G557" s="139"/>
      <c r="H557" s="139"/>
      <c r="I557" s="139"/>
      <c r="J557" s="139"/>
      <c r="K557" s="139"/>
    </row>
    <row r="558" spans="1:11" ht="20.25">
      <c r="A558" s="139"/>
      <c r="B558" s="139"/>
      <c r="C558" s="139"/>
      <c r="D558" s="139"/>
      <c r="E558" s="150"/>
      <c r="F558" s="153"/>
      <c r="G558" s="139"/>
      <c r="H558" s="139"/>
      <c r="I558" s="139"/>
      <c r="J558" s="139"/>
      <c r="K558" s="139"/>
    </row>
    <row r="559" spans="1:11" ht="20.25">
      <c r="A559" s="139"/>
      <c r="B559" s="139"/>
      <c r="C559" s="139"/>
      <c r="D559" s="139"/>
      <c r="E559" s="150"/>
      <c r="F559" s="153"/>
      <c r="G559" s="139"/>
      <c r="H559" s="139"/>
      <c r="I559" s="139"/>
      <c r="J559" s="139"/>
      <c r="K559" s="139"/>
    </row>
    <row r="560" spans="1:11" ht="20.25">
      <c r="A560" s="139"/>
      <c r="B560" s="139"/>
      <c r="C560" s="139"/>
      <c r="D560" s="139"/>
      <c r="E560" s="150"/>
      <c r="F560" s="153"/>
      <c r="G560" s="139"/>
      <c r="H560" s="139"/>
      <c r="I560" s="139"/>
      <c r="J560" s="139"/>
      <c r="K560" s="139"/>
    </row>
    <row r="561" spans="1:11" ht="20.25">
      <c r="A561" s="139"/>
      <c r="B561" s="139"/>
      <c r="C561" s="139"/>
      <c r="D561" s="139"/>
      <c r="E561" s="150"/>
      <c r="F561" s="153"/>
      <c r="G561" s="139"/>
      <c r="H561" s="139"/>
      <c r="I561" s="139"/>
      <c r="J561" s="139"/>
      <c r="K561" s="139"/>
    </row>
    <row r="562" spans="1:11" ht="20.25">
      <c r="A562" s="139"/>
      <c r="B562" s="139"/>
      <c r="C562" s="139"/>
      <c r="D562" s="139"/>
      <c r="E562" s="150"/>
      <c r="F562" s="153"/>
      <c r="G562" s="139"/>
      <c r="H562" s="139"/>
      <c r="I562" s="139"/>
      <c r="J562" s="139"/>
      <c r="K562" s="139"/>
    </row>
    <row r="563" spans="1:11" ht="20.25">
      <c r="A563" s="139"/>
      <c r="B563" s="139"/>
      <c r="C563" s="139"/>
      <c r="D563" s="139"/>
      <c r="E563" s="150"/>
      <c r="F563" s="153"/>
      <c r="G563" s="139"/>
      <c r="H563" s="139"/>
      <c r="I563" s="139"/>
      <c r="J563" s="139"/>
      <c r="K563" s="139"/>
    </row>
    <row r="564" spans="1:11" ht="20.25">
      <c r="A564" s="139"/>
      <c r="B564" s="139"/>
      <c r="C564" s="139"/>
      <c r="D564" s="139"/>
      <c r="E564" s="150"/>
      <c r="F564" s="153"/>
      <c r="G564" s="139"/>
      <c r="H564" s="139"/>
      <c r="I564" s="139"/>
      <c r="J564" s="139"/>
      <c r="K564" s="139"/>
    </row>
    <row r="565" spans="1:11" ht="20.25">
      <c r="A565" s="139"/>
      <c r="B565" s="139"/>
      <c r="C565" s="139"/>
      <c r="D565" s="139"/>
      <c r="E565" s="150"/>
      <c r="F565" s="153"/>
      <c r="G565" s="139"/>
      <c r="H565" s="139"/>
      <c r="I565" s="139"/>
      <c r="J565" s="139"/>
      <c r="K565" s="139"/>
    </row>
    <row r="566" spans="1:11" ht="20.25">
      <c r="A566" s="139"/>
      <c r="B566" s="139"/>
      <c r="C566" s="139"/>
      <c r="D566" s="139"/>
      <c r="E566" s="150"/>
      <c r="F566" s="153"/>
      <c r="G566" s="139"/>
      <c r="H566" s="139"/>
      <c r="I566" s="139"/>
      <c r="J566" s="139"/>
      <c r="K566" s="139"/>
    </row>
    <row r="567" spans="1:11" ht="20.25">
      <c r="A567" s="139"/>
      <c r="B567" s="139"/>
      <c r="C567" s="139"/>
      <c r="D567" s="139"/>
      <c r="E567" s="150"/>
      <c r="F567" s="153"/>
      <c r="G567" s="139"/>
      <c r="H567" s="139"/>
      <c r="I567" s="139"/>
      <c r="J567" s="139"/>
      <c r="K567" s="139"/>
    </row>
    <row r="568" spans="1:11" ht="20.25">
      <c r="A568" s="139"/>
      <c r="B568" s="139"/>
      <c r="C568" s="139"/>
      <c r="D568" s="139"/>
      <c r="E568" s="150"/>
      <c r="F568" s="153"/>
      <c r="G568" s="139"/>
      <c r="H568" s="139"/>
      <c r="I568" s="139"/>
      <c r="J568" s="139"/>
      <c r="K568" s="139"/>
    </row>
    <row r="569" spans="1:11" ht="20.25">
      <c r="A569" s="139"/>
      <c r="B569" s="139"/>
      <c r="C569" s="139"/>
      <c r="D569" s="139"/>
      <c r="E569" s="150"/>
      <c r="F569" s="153"/>
      <c r="G569" s="139"/>
      <c r="H569" s="139"/>
      <c r="I569" s="139"/>
      <c r="J569" s="139"/>
      <c r="K569" s="139"/>
    </row>
    <row r="570" spans="1:11" ht="20.25">
      <c r="A570" s="139"/>
      <c r="B570" s="139"/>
      <c r="C570" s="139"/>
      <c r="D570" s="139"/>
      <c r="E570" s="150"/>
      <c r="F570" s="153"/>
      <c r="G570" s="139"/>
      <c r="H570" s="139"/>
      <c r="I570" s="139"/>
      <c r="J570" s="139"/>
      <c r="K570" s="139"/>
    </row>
    <row r="571" spans="1:11" ht="20.25">
      <c r="A571" s="139"/>
      <c r="B571" s="139"/>
      <c r="C571" s="139"/>
      <c r="D571" s="139"/>
      <c r="E571" s="150"/>
      <c r="F571" s="153"/>
      <c r="G571" s="139"/>
      <c r="H571" s="139"/>
      <c r="I571" s="139"/>
      <c r="J571" s="139"/>
      <c r="K571" s="139"/>
    </row>
    <row r="572" spans="1:11" ht="20.25">
      <c r="A572" s="139"/>
      <c r="B572" s="139"/>
      <c r="C572" s="139"/>
      <c r="D572" s="139"/>
      <c r="E572" s="150"/>
      <c r="F572" s="153"/>
      <c r="G572" s="139"/>
      <c r="H572" s="139"/>
      <c r="I572" s="139"/>
      <c r="J572" s="139"/>
      <c r="K572" s="139"/>
    </row>
    <row r="573" spans="1:11" ht="20.25">
      <c r="A573" s="139"/>
      <c r="B573" s="139"/>
      <c r="C573" s="139"/>
      <c r="D573" s="139"/>
      <c r="E573" s="150"/>
      <c r="F573" s="153"/>
      <c r="G573" s="139"/>
      <c r="H573" s="139"/>
      <c r="I573" s="139"/>
      <c r="J573" s="139"/>
      <c r="K573" s="139"/>
    </row>
    <row r="574" spans="1:11" ht="20.25">
      <c r="A574" s="139"/>
      <c r="B574" s="139"/>
      <c r="C574" s="139"/>
      <c r="D574" s="139"/>
      <c r="E574" s="150"/>
      <c r="F574" s="153"/>
      <c r="G574" s="139"/>
      <c r="H574" s="139"/>
      <c r="I574" s="139"/>
      <c r="J574" s="139"/>
      <c r="K574" s="139"/>
    </row>
    <row r="575" spans="1:11" ht="20.25">
      <c r="A575" s="139"/>
      <c r="B575" s="139"/>
      <c r="C575" s="139"/>
      <c r="D575" s="139"/>
      <c r="E575" s="150"/>
      <c r="F575" s="153"/>
      <c r="G575" s="139"/>
      <c r="H575" s="139"/>
      <c r="I575" s="139"/>
      <c r="J575" s="139"/>
      <c r="K575" s="139"/>
    </row>
    <row r="576" spans="1:11" ht="20.25">
      <c r="A576" s="139"/>
      <c r="B576" s="139"/>
      <c r="C576" s="139"/>
      <c r="D576" s="139"/>
      <c r="E576" s="150"/>
      <c r="F576" s="153"/>
      <c r="G576" s="139"/>
      <c r="H576" s="139"/>
      <c r="I576" s="139"/>
      <c r="J576" s="139"/>
      <c r="K576" s="139"/>
    </row>
    <row r="577" spans="1:11" ht="20.25">
      <c r="A577" s="139"/>
      <c r="B577" s="139"/>
      <c r="C577" s="139"/>
      <c r="D577" s="139"/>
      <c r="E577" s="150"/>
      <c r="F577" s="153"/>
      <c r="G577" s="139"/>
      <c r="H577" s="139"/>
      <c r="I577" s="139"/>
      <c r="J577" s="139"/>
      <c r="K577" s="139"/>
    </row>
    <row r="578" spans="1:11" ht="20.25">
      <c r="A578" s="139"/>
      <c r="B578" s="139"/>
      <c r="C578" s="139"/>
      <c r="D578" s="139"/>
      <c r="E578" s="150"/>
      <c r="F578" s="153"/>
      <c r="G578" s="139"/>
      <c r="H578" s="139"/>
      <c r="I578" s="139"/>
      <c r="J578" s="139"/>
      <c r="K578" s="139"/>
    </row>
    <row r="579" spans="1:11" ht="20.25">
      <c r="A579" s="139"/>
      <c r="B579" s="139"/>
      <c r="C579" s="139"/>
      <c r="D579" s="139"/>
      <c r="E579" s="150"/>
      <c r="F579" s="153"/>
      <c r="G579" s="139"/>
      <c r="H579" s="139"/>
      <c r="I579" s="139"/>
      <c r="J579" s="139"/>
      <c r="K579" s="139"/>
    </row>
    <row r="580" spans="1:11" ht="20.25">
      <c r="A580" s="139"/>
      <c r="B580" s="139"/>
      <c r="C580" s="139"/>
      <c r="D580" s="139"/>
      <c r="E580" s="150"/>
      <c r="F580" s="153"/>
      <c r="G580" s="139"/>
      <c r="H580" s="139"/>
      <c r="I580" s="139"/>
      <c r="J580" s="139"/>
      <c r="K580" s="139"/>
    </row>
    <row r="581" spans="1:11" ht="20.25">
      <c r="A581" s="139"/>
      <c r="B581" s="139"/>
      <c r="C581" s="139"/>
      <c r="D581" s="139"/>
      <c r="E581" s="150"/>
      <c r="F581" s="153"/>
      <c r="G581" s="139"/>
      <c r="H581" s="139"/>
      <c r="I581" s="139"/>
      <c r="J581" s="139"/>
      <c r="K581" s="139"/>
    </row>
    <row r="582" spans="1:11" ht="20.25">
      <c r="A582" s="139"/>
      <c r="B582" s="139"/>
      <c r="C582" s="139"/>
      <c r="D582" s="139"/>
      <c r="E582" s="150"/>
      <c r="F582" s="153"/>
      <c r="G582" s="139"/>
      <c r="H582" s="139"/>
      <c r="I582" s="139"/>
      <c r="J582" s="139"/>
      <c r="K582" s="139"/>
    </row>
    <row r="583" spans="1:11" ht="20.25">
      <c r="A583" s="139"/>
      <c r="B583" s="139"/>
      <c r="C583" s="139"/>
      <c r="D583" s="139"/>
      <c r="E583" s="150"/>
      <c r="F583" s="153"/>
      <c r="G583" s="139"/>
      <c r="H583" s="139"/>
      <c r="I583" s="139"/>
      <c r="J583" s="139"/>
      <c r="K583" s="139"/>
    </row>
    <row r="584" spans="1:11" ht="20.25">
      <c r="A584" s="139"/>
      <c r="B584" s="139"/>
      <c r="C584" s="139"/>
      <c r="D584" s="139"/>
      <c r="E584" s="150"/>
      <c r="F584" s="153"/>
      <c r="G584" s="139"/>
      <c r="H584" s="139"/>
      <c r="I584" s="139"/>
      <c r="J584" s="139"/>
      <c r="K584" s="139"/>
    </row>
    <row r="585" spans="1:11" ht="20.25">
      <c r="A585" s="139"/>
      <c r="B585" s="139"/>
      <c r="C585" s="139"/>
      <c r="D585" s="139"/>
      <c r="E585" s="150"/>
      <c r="F585" s="153"/>
      <c r="G585" s="139"/>
      <c r="H585" s="139"/>
      <c r="I585" s="139"/>
      <c r="J585" s="139"/>
      <c r="K585" s="139"/>
    </row>
    <row r="586" spans="1:11" ht="20.25">
      <c r="A586" s="139"/>
      <c r="B586" s="139"/>
      <c r="C586" s="139"/>
      <c r="D586" s="139"/>
      <c r="E586" s="150"/>
      <c r="F586" s="153"/>
      <c r="G586" s="139"/>
      <c r="H586" s="139"/>
      <c r="I586" s="139"/>
      <c r="J586" s="139"/>
      <c r="K586" s="139"/>
    </row>
    <row r="587" spans="1:11" ht="20.25">
      <c r="A587" s="139"/>
      <c r="B587" s="139"/>
      <c r="C587" s="139"/>
      <c r="D587" s="139"/>
      <c r="E587" s="150"/>
      <c r="F587" s="153"/>
      <c r="G587" s="139"/>
      <c r="H587" s="139"/>
      <c r="I587" s="139"/>
      <c r="J587" s="139"/>
      <c r="K587" s="139"/>
    </row>
    <row r="588" spans="1:11" ht="20.25">
      <c r="A588" s="139"/>
      <c r="B588" s="139"/>
      <c r="C588" s="139"/>
      <c r="D588" s="139"/>
      <c r="E588" s="150"/>
      <c r="F588" s="153"/>
      <c r="G588" s="139"/>
      <c r="H588" s="139"/>
      <c r="I588" s="139"/>
      <c r="J588" s="139"/>
      <c r="K588" s="139"/>
    </row>
    <row r="589" spans="1:11" ht="20.25">
      <c r="A589" s="139"/>
      <c r="B589" s="139"/>
      <c r="C589" s="139"/>
      <c r="D589" s="139"/>
      <c r="E589" s="150"/>
      <c r="F589" s="153"/>
      <c r="G589" s="139"/>
      <c r="H589" s="139"/>
      <c r="I589" s="139"/>
      <c r="J589" s="139"/>
      <c r="K589" s="139"/>
    </row>
    <row r="590" spans="1:11" ht="20.25">
      <c r="A590" s="139"/>
      <c r="B590" s="139"/>
      <c r="C590" s="139"/>
      <c r="D590" s="139"/>
      <c r="E590" s="150"/>
      <c r="F590" s="153"/>
      <c r="G590" s="139"/>
      <c r="H590" s="139"/>
      <c r="I590" s="139"/>
      <c r="J590" s="139"/>
      <c r="K590" s="139"/>
    </row>
    <row r="591" spans="1:11" ht="20.25">
      <c r="A591" s="139"/>
      <c r="B591" s="139"/>
      <c r="C591" s="139"/>
      <c r="D591" s="139"/>
      <c r="E591" s="150"/>
      <c r="F591" s="153"/>
      <c r="G591" s="139"/>
      <c r="H591" s="139"/>
      <c r="I591" s="139"/>
      <c r="J591" s="139"/>
      <c r="K591" s="139"/>
    </row>
    <row r="592" spans="1:11" ht="20.25">
      <c r="A592" s="139"/>
      <c r="B592" s="139"/>
      <c r="C592" s="139"/>
      <c r="D592" s="139"/>
      <c r="E592" s="150"/>
      <c r="F592" s="153"/>
      <c r="G592" s="139"/>
      <c r="H592" s="139"/>
      <c r="I592" s="139"/>
      <c r="J592" s="139"/>
      <c r="K592" s="139"/>
    </row>
    <row r="593" spans="1:11" ht="20.25">
      <c r="A593" s="139"/>
      <c r="B593" s="139"/>
      <c r="C593" s="139"/>
      <c r="D593" s="139"/>
      <c r="E593" s="150"/>
      <c r="F593" s="153"/>
      <c r="G593" s="139"/>
      <c r="H593" s="139"/>
      <c r="I593" s="139"/>
      <c r="J593" s="139"/>
      <c r="K593" s="139"/>
    </row>
    <row r="594" spans="1:11" ht="20.25">
      <c r="A594" s="139"/>
      <c r="B594" s="139"/>
      <c r="C594" s="139"/>
      <c r="D594" s="139"/>
      <c r="E594" s="150"/>
      <c r="F594" s="153"/>
      <c r="G594" s="139"/>
      <c r="H594" s="139"/>
      <c r="I594" s="139"/>
      <c r="J594" s="139"/>
      <c r="K594" s="139"/>
    </row>
    <row r="595" spans="1:11" ht="20.25">
      <c r="A595" s="139"/>
      <c r="B595" s="139"/>
      <c r="C595" s="139"/>
      <c r="D595" s="139"/>
      <c r="E595" s="150"/>
      <c r="F595" s="153"/>
      <c r="G595" s="139"/>
      <c r="H595" s="139"/>
      <c r="I595" s="139"/>
      <c r="J595" s="139"/>
      <c r="K595" s="139"/>
    </row>
    <row r="596" spans="1:11" ht="20.25">
      <c r="A596" s="139"/>
      <c r="B596" s="139"/>
      <c r="C596" s="139"/>
      <c r="D596" s="139"/>
      <c r="E596" s="150"/>
      <c r="F596" s="153"/>
      <c r="G596" s="139"/>
      <c r="H596" s="139"/>
      <c r="I596" s="139"/>
      <c r="J596" s="139"/>
      <c r="K596" s="139"/>
    </row>
    <row r="597" spans="1:11" ht="20.25">
      <c r="A597" s="139"/>
      <c r="B597" s="139"/>
      <c r="C597" s="139"/>
      <c r="D597" s="139"/>
      <c r="E597" s="150"/>
      <c r="F597" s="153"/>
      <c r="G597" s="139"/>
      <c r="H597" s="139"/>
      <c r="I597" s="139"/>
      <c r="J597" s="139"/>
      <c r="K597" s="139"/>
    </row>
    <row r="598" spans="1:11" ht="20.25">
      <c r="A598" s="139"/>
      <c r="B598" s="139"/>
      <c r="C598" s="139"/>
      <c r="D598" s="139"/>
      <c r="E598" s="150"/>
      <c r="F598" s="153"/>
      <c r="G598" s="139"/>
      <c r="H598" s="139"/>
      <c r="I598" s="139"/>
      <c r="J598" s="139"/>
      <c r="K598" s="139"/>
    </row>
    <row r="599" spans="1:11" ht="20.25">
      <c r="A599" s="139"/>
      <c r="B599" s="139"/>
      <c r="C599" s="139"/>
      <c r="D599" s="139"/>
      <c r="E599" s="150"/>
      <c r="F599" s="153"/>
      <c r="G599" s="139"/>
      <c r="H599" s="139"/>
      <c r="I599" s="139"/>
      <c r="J599" s="139"/>
      <c r="K599" s="139"/>
    </row>
    <row r="600" spans="1:11" ht="20.25">
      <c r="A600" s="139"/>
      <c r="B600" s="139"/>
      <c r="C600" s="139"/>
      <c r="D600" s="139"/>
      <c r="E600" s="150"/>
      <c r="F600" s="153"/>
      <c r="G600" s="139"/>
      <c r="H600" s="139"/>
      <c r="I600" s="139"/>
      <c r="J600" s="139"/>
      <c r="K600" s="139"/>
    </row>
    <row r="601" spans="1:11" ht="20.25">
      <c r="A601" s="139"/>
      <c r="B601" s="139"/>
      <c r="C601" s="139"/>
      <c r="D601" s="139"/>
      <c r="E601" s="150"/>
      <c r="F601" s="153"/>
      <c r="G601" s="139"/>
      <c r="H601" s="139"/>
      <c r="I601" s="139"/>
      <c r="J601" s="139"/>
      <c r="K601" s="139"/>
    </row>
    <row r="602" spans="1:11" ht="20.25">
      <c r="A602" s="139"/>
      <c r="B602" s="139"/>
      <c r="C602" s="139"/>
      <c r="D602" s="139"/>
      <c r="E602" s="150"/>
      <c r="F602" s="153"/>
      <c r="G602" s="139"/>
      <c r="H602" s="139"/>
      <c r="I602" s="139"/>
      <c r="J602" s="139"/>
      <c r="K602" s="139"/>
    </row>
    <row r="603" spans="1:11" ht="20.25">
      <c r="A603" s="139"/>
      <c r="B603" s="139"/>
      <c r="C603" s="139"/>
      <c r="D603" s="139"/>
      <c r="E603" s="150"/>
      <c r="F603" s="153"/>
      <c r="G603" s="139"/>
      <c r="H603" s="139"/>
      <c r="I603" s="139"/>
      <c r="J603" s="139"/>
      <c r="K603" s="139"/>
    </row>
    <row r="604" spans="1:11" ht="20.25">
      <c r="A604" s="139"/>
      <c r="B604" s="139"/>
      <c r="C604" s="139"/>
      <c r="D604" s="139"/>
      <c r="E604" s="150"/>
      <c r="F604" s="153"/>
      <c r="G604" s="139"/>
      <c r="H604" s="139"/>
      <c r="I604" s="139"/>
      <c r="J604" s="139"/>
      <c r="K604" s="139"/>
    </row>
    <row r="605" spans="1:11" ht="20.25">
      <c r="A605" s="139"/>
      <c r="B605" s="139"/>
      <c r="C605" s="139"/>
      <c r="D605" s="139"/>
      <c r="E605" s="150"/>
      <c r="F605" s="153"/>
      <c r="G605" s="139"/>
      <c r="H605" s="139"/>
      <c r="I605" s="139"/>
      <c r="J605" s="139"/>
      <c r="K605" s="139"/>
    </row>
    <row r="606" spans="1:11" ht="20.25">
      <c r="A606" s="139"/>
      <c r="B606" s="139"/>
      <c r="C606" s="139"/>
      <c r="D606" s="139"/>
      <c r="E606" s="150"/>
      <c r="F606" s="153"/>
      <c r="G606" s="139"/>
      <c r="H606" s="139"/>
      <c r="I606" s="139"/>
      <c r="J606" s="139"/>
      <c r="K606" s="139"/>
    </row>
    <row r="607" spans="1:11" ht="20.25">
      <c r="A607" s="139"/>
      <c r="B607" s="139"/>
      <c r="C607" s="139"/>
      <c r="D607" s="139"/>
      <c r="E607" s="150"/>
      <c r="F607" s="153"/>
      <c r="G607" s="139"/>
      <c r="H607" s="139"/>
      <c r="I607" s="139"/>
      <c r="J607" s="139"/>
      <c r="K607" s="139"/>
    </row>
    <row r="608" spans="1:11" ht="20.25">
      <c r="A608" s="139"/>
      <c r="B608" s="139"/>
      <c r="C608" s="139"/>
      <c r="D608" s="139"/>
      <c r="E608" s="150"/>
      <c r="F608" s="153"/>
      <c r="G608" s="139"/>
      <c r="H608" s="139"/>
      <c r="I608" s="139"/>
      <c r="J608" s="139"/>
      <c r="K608" s="139"/>
    </row>
    <row r="609" spans="1:11" ht="20.25">
      <c r="A609" s="139"/>
      <c r="B609" s="139"/>
      <c r="C609" s="139"/>
      <c r="D609" s="139"/>
      <c r="E609" s="150"/>
      <c r="F609" s="153"/>
      <c r="G609" s="139"/>
      <c r="H609" s="139"/>
      <c r="I609" s="139"/>
      <c r="J609" s="139"/>
      <c r="K609" s="139"/>
    </row>
    <row r="610" spans="1:11" ht="20.25">
      <c r="A610" s="139"/>
      <c r="B610" s="139"/>
      <c r="C610" s="139"/>
      <c r="D610" s="139"/>
      <c r="E610" s="150"/>
      <c r="F610" s="153"/>
      <c r="G610" s="139"/>
      <c r="H610" s="139"/>
      <c r="I610" s="139"/>
      <c r="J610" s="139"/>
      <c r="K610" s="139"/>
    </row>
    <row r="611" spans="1:11" ht="20.25">
      <c r="A611" s="139"/>
      <c r="B611" s="139"/>
      <c r="C611" s="139"/>
      <c r="D611" s="139"/>
      <c r="E611" s="150"/>
      <c r="F611" s="153"/>
      <c r="G611" s="139"/>
      <c r="H611" s="139"/>
      <c r="I611" s="139"/>
      <c r="J611" s="139"/>
      <c r="K611" s="139"/>
    </row>
    <row r="612" spans="1:11" ht="20.25">
      <c r="A612" s="139"/>
      <c r="B612" s="139"/>
      <c r="C612" s="139"/>
      <c r="D612" s="139"/>
      <c r="E612" s="150"/>
      <c r="F612" s="153"/>
      <c r="G612" s="139"/>
      <c r="H612" s="139"/>
      <c r="I612" s="139"/>
      <c r="J612" s="139"/>
      <c r="K612" s="139"/>
    </row>
    <row r="613" spans="1:11" ht="20.25">
      <c r="A613" s="139"/>
      <c r="B613" s="139"/>
      <c r="C613" s="139"/>
      <c r="D613" s="139"/>
      <c r="E613" s="150"/>
      <c r="F613" s="153"/>
      <c r="G613" s="139"/>
      <c r="H613" s="139"/>
      <c r="I613" s="139"/>
      <c r="J613" s="139"/>
      <c r="K613" s="139"/>
    </row>
    <row r="614" spans="1:11" ht="20.25">
      <c r="A614" s="139"/>
      <c r="B614" s="139"/>
      <c r="C614" s="139"/>
      <c r="D614" s="139"/>
      <c r="E614" s="150"/>
      <c r="F614" s="153"/>
      <c r="G614" s="139"/>
      <c r="H614" s="139"/>
      <c r="I614" s="139"/>
      <c r="J614" s="139"/>
      <c r="K614" s="139"/>
    </row>
    <row r="615" spans="1:11" ht="20.25">
      <c r="A615" s="139"/>
      <c r="B615" s="139"/>
      <c r="C615" s="139"/>
      <c r="D615" s="139"/>
      <c r="E615" s="150"/>
      <c r="F615" s="153"/>
      <c r="G615" s="139"/>
      <c r="H615" s="139"/>
      <c r="I615" s="139"/>
      <c r="J615" s="139"/>
      <c r="K615" s="139"/>
    </row>
    <row r="616" spans="1:11" ht="20.25">
      <c r="A616" s="139"/>
      <c r="B616" s="139"/>
      <c r="C616" s="139"/>
      <c r="D616" s="139"/>
      <c r="E616" s="150"/>
      <c r="F616" s="153"/>
      <c r="G616" s="139"/>
      <c r="H616" s="139"/>
      <c r="I616" s="139"/>
      <c r="J616" s="139"/>
      <c r="K616" s="139"/>
    </row>
    <row r="617" spans="1:11" ht="20.25">
      <c r="A617" s="139"/>
      <c r="B617" s="139"/>
      <c r="C617" s="139"/>
      <c r="D617" s="139"/>
      <c r="E617" s="150"/>
      <c r="F617" s="153"/>
      <c r="G617" s="139"/>
      <c r="H617" s="139"/>
      <c r="I617" s="139"/>
      <c r="J617" s="139"/>
      <c r="K617" s="139"/>
    </row>
    <row r="618" spans="1:11" ht="20.25">
      <c r="A618" s="139"/>
      <c r="B618" s="139"/>
      <c r="C618" s="139"/>
      <c r="D618" s="139"/>
      <c r="E618" s="150"/>
      <c r="F618" s="153"/>
      <c r="G618" s="139"/>
      <c r="H618" s="139"/>
      <c r="I618" s="139"/>
      <c r="J618" s="139"/>
      <c r="K618" s="139"/>
    </row>
    <row r="619" spans="1:11" ht="20.25">
      <c r="A619" s="139"/>
      <c r="B619" s="139"/>
      <c r="C619" s="139"/>
      <c r="D619" s="139"/>
      <c r="E619" s="150"/>
      <c r="F619" s="153"/>
      <c r="G619" s="139"/>
      <c r="H619" s="139"/>
      <c r="I619" s="139"/>
      <c r="J619" s="139"/>
      <c r="K619" s="139"/>
    </row>
    <row r="620" spans="1:11" ht="20.25">
      <c r="A620" s="139"/>
      <c r="B620" s="139"/>
      <c r="C620" s="139"/>
      <c r="D620" s="139"/>
      <c r="E620" s="150"/>
      <c r="F620" s="153"/>
      <c r="G620" s="139"/>
      <c r="H620" s="139"/>
      <c r="I620" s="139"/>
      <c r="J620" s="139"/>
      <c r="K620" s="139"/>
    </row>
    <row r="621" spans="1:11" ht="20.25">
      <c r="A621" s="139"/>
      <c r="B621" s="139"/>
      <c r="C621" s="139"/>
      <c r="D621" s="139"/>
      <c r="E621" s="150"/>
      <c r="F621" s="153"/>
      <c r="G621" s="139"/>
      <c r="H621" s="139"/>
      <c r="I621" s="139"/>
      <c r="J621" s="139"/>
      <c r="K621" s="139"/>
    </row>
    <row r="622" spans="1:11" ht="20.25">
      <c r="A622" s="139"/>
      <c r="B622" s="139"/>
      <c r="C622" s="139"/>
      <c r="D622" s="139"/>
      <c r="E622" s="150"/>
      <c r="F622" s="153"/>
      <c r="G622" s="139"/>
      <c r="H622" s="139"/>
      <c r="I622" s="139"/>
      <c r="J622" s="139"/>
      <c r="K622" s="139"/>
    </row>
    <row r="623" spans="1:11" ht="20.25">
      <c r="A623" s="139"/>
      <c r="B623" s="139"/>
      <c r="C623" s="139"/>
      <c r="D623" s="139"/>
      <c r="E623" s="150"/>
      <c r="F623" s="153"/>
      <c r="G623" s="139"/>
      <c r="H623" s="139"/>
      <c r="I623" s="139"/>
      <c r="J623" s="139"/>
      <c r="K623" s="139"/>
    </row>
    <row r="624" spans="1:11" ht="20.25">
      <c r="A624" s="139"/>
      <c r="B624" s="139"/>
      <c r="C624" s="139"/>
      <c r="D624" s="139"/>
      <c r="E624" s="150"/>
      <c r="F624" s="153"/>
      <c r="G624" s="139"/>
      <c r="H624" s="139"/>
      <c r="I624" s="139"/>
      <c r="J624" s="139"/>
      <c r="K624" s="139"/>
    </row>
    <row r="625" spans="1:11" ht="20.25">
      <c r="A625" s="139"/>
      <c r="B625" s="139"/>
      <c r="C625" s="139"/>
      <c r="D625" s="139"/>
      <c r="E625" s="150"/>
      <c r="F625" s="153"/>
      <c r="G625" s="139"/>
      <c r="H625" s="139"/>
      <c r="I625" s="139"/>
      <c r="J625" s="139"/>
      <c r="K625" s="139"/>
    </row>
    <row r="626" spans="1:11" ht="20.25">
      <c r="A626" s="139"/>
      <c r="B626" s="139"/>
      <c r="C626" s="139"/>
      <c r="D626" s="139"/>
      <c r="E626" s="150"/>
      <c r="F626" s="153"/>
      <c r="G626" s="139"/>
      <c r="H626" s="139"/>
      <c r="I626" s="139"/>
      <c r="J626" s="139"/>
      <c r="K626" s="139"/>
    </row>
    <row r="627" spans="1:11" ht="20.25">
      <c r="A627" s="139"/>
      <c r="B627" s="139"/>
      <c r="C627" s="139"/>
      <c r="D627" s="139"/>
      <c r="E627" s="150"/>
      <c r="F627" s="153"/>
      <c r="G627" s="139"/>
      <c r="H627" s="139"/>
      <c r="I627" s="139"/>
      <c r="J627" s="139"/>
      <c r="K627" s="139"/>
    </row>
    <row r="628" spans="1:11" ht="20.25">
      <c r="A628" s="139"/>
      <c r="B628" s="139"/>
      <c r="C628" s="139"/>
      <c r="D628" s="139"/>
      <c r="E628" s="150"/>
      <c r="F628" s="153"/>
      <c r="G628" s="139"/>
      <c r="H628" s="139"/>
      <c r="I628" s="139"/>
      <c r="J628" s="139"/>
      <c r="K628" s="139"/>
    </row>
    <row r="629" spans="1:11" ht="20.25">
      <c r="A629" s="139"/>
      <c r="B629" s="139"/>
      <c r="C629" s="139"/>
      <c r="D629" s="139"/>
      <c r="E629" s="150"/>
      <c r="F629" s="153"/>
      <c r="G629" s="139"/>
      <c r="H629" s="139"/>
      <c r="I629" s="139"/>
      <c r="J629" s="139"/>
      <c r="K629" s="139"/>
    </row>
    <row r="630" spans="1:11" ht="20.25">
      <c r="A630" s="139"/>
      <c r="B630" s="139"/>
      <c r="C630" s="139"/>
      <c r="D630" s="139"/>
      <c r="E630" s="150"/>
      <c r="F630" s="153"/>
      <c r="G630" s="139"/>
      <c r="H630" s="139"/>
      <c r="I630" s="139"/>
      <c r="J630" s="139"/>
      <c r="K630" s="139"/>
    </row>
    <row r="631" spans="1:11" ht="20.25">
      <c r="A631" s="139"/>
      <c r="B631" s="139"/>
      <c r="C631" s="139"/>
      <c r="D631" s="139"/>
      <c r="E631" s="150"/>
      <c r="F631" s="153"/>
      <c r="G631" s="139"/>
      <c r="H631" s="139"/>
      <c r="I631" s="139"/>
      <c r="J631" s="139"/>
      <c r="K631" s="139"/>
    </row>
    <row r="632" spans="1:11" ht="20.25">
      <c r="A632" s="139"/>
      <c r="B632" s="139"/>
      <c r="C632" s="139"/>
      <c r="D632" s="139"/>
      <c r="E632" s="150"/>
      <c r="F632" s="153"/>
      <c r="G632" s="139"/>
      <c r="H632" s="139"/>
      <c r="I632" s="139"/>
      <c r="J632" s="139"/>
      <c r="K632" s="139"/>
    </row>
    <row r="633" spans="1:11" ht="20.25">
      <c r="A633" s="139"/>
      <c r="B633" s="139"/>
      <c r="C633" s="139"/>
      <c r="D633" s="139"/>
      <c r="E633" s="150"/>
      <c r="F633" s="153"/>
      <c r="G633" s="139"/>
      <c r="H633" s="139"/>
      <c r="I633" s="139"/>
      <c r="J633" s="139"/>
      <c r="K633" s="139"/>
    </row>
    <row r="634" spans="1:11" ht="20.25">
      <c r="A634" s="139"/>
      <c r="B634" s="139"/>
      <c r="C634" s="139"/>
      <c r="D634" s="139"/>
      <c r="E634" s="150"/>
      <c r="F634" s="153"/>
      <c r="G634" s="139"/>
      <c r="H634" s="139"/>
      <c r="I634" s="139"/>
      <c r="J634" s="139"/>
      <c r="K634" s="139"/>
    </row>
    <row r="635" spans="1:11" ht="20.25">
      <c r="A635" s="139"/>
      <c r="B635" s="139"/>
      <c r="C635" s="139"/>
      <c r="D635" s="139"/>
      <c r="E635" s="150"/>
      <c r="F635" s="153"/>
      <c r="G635" s="139"/>
      <c r="H635" s="139"/>
      <c r="I635" s="139"/>
      <c r="J635" s="139"/>
      <c r="K635" s="139"/>
    </row>
    <row r="636" spans="1:11" ht="20.25">
      <c r="A636" s="139"/>
      <c r="B636" s="139"/>
      <c r="C636" s="139"/>
      <c r="D636" s="139"/>
      <c r="E636" s="150"/>
      <c r="F636" s="153"/>
      <c r="G636" s="139"/>
      <c r="H636" s="139"/>
      <c r="I636" s="139"/>
      <c r="J636" s="139"/>
      <c r="K636" s="139"/>
    </row>
    <row r="637" spans="1:11" ht="20.25">
      <c r="A637" s="139"/>
      <c r="B637" s="139"/>
      <c r="C637" s="139"/>
      <c r="D637" s="139"/>
      <c r="E637" s="150"/>
      <c r="F637" s="153"/>
      <c r="G637" s="139"/>
      <c r="H637" s="139"/>
      <c r="I637" s="139"/>
      <c r="J637" s="139"/>
      <c r="K637" s="139"/>
    </row>
    <row r="638" spans="1:11" ht="20.25">
      <c r="A638" s="139"/>
      <c r="B638" s="139"/>
      <c r="C638" s="139"/>
      <c r="D638" s="139"/>
      <c r="E638" s="150"/>
      <c r="F638" s="153"/>
      <c r="G638" s="139"/>
      <c r="H638" s="139"/>
      <c r="I638" s="139"/>
      <c r="J638" s="139"/>
      <c r="K638" s="139"/>
    </row>
    <row r="639" spans="1:11" ht="20.25">
      <c r="A639" s="139"/>
      <c r="B639" s="139"/>
      <c r="C639" s="139"/>
      <c r="D639" s="139"/>
      <c r="E639" s="150"/>
      <c r="F639" s="153"/>
      <c r="G639" s="139"/>
      <c r="H639" s="139"/>
      <c r="I639" s="139"/>
      <c r="J639" s="139"/>
      <c r="K639" s="139"/>
    </row>
    <row r="640" spans="1:11" ht="20.25">
      <c r="A640" s="139"/>
      <c r="B640" s="139"/>
      <c r="C640" s="139"/>
      <c r="D640" s="139"/>
      <c r="E640" s="150"/>
      <c r="F640" s="153"/>
      <c r="G640" s="139"/>
      <c r="H640" s="139"/>
      <c r="I640" s="139"/>
      <c r="J640" s="139"/>
      <c r="K640" s="139"/>
    </row>
    <row r="641" spans="1:11" ht="20.25">
      <c r="A641" s="139"/>
      <c r="B641" s="139"/>
      <c r="C641" s="139"/>
      <c r="D641" s="139"/>
      <c r="E641" s="150"/>
      <c r="F641" s="153"/>
      <c r="G641" s="139"/>
      <c r="H641" s="139"/>
      <c r="I641" s="139"/>
      <c r="J641" s="139"/>
      <c r="K641" s="139"/>
    </row>
    <row r="642" spans="1:11" ht="20.25">
      <c r="A642" s="139"/>
      <c r="B642" s="139"/>
      <c r="C642" s="139"/>
      <c r="D642" s="139"/>
      <c r="E642" s="150"/>
      <c r="F642" s="153"/>
      <c r="G642" s="139"/>
      <c r="H642" s="139"/>
      <c r="I642" s="139"/>
      <c r="J642" s="139"/>
      <c r="K642" s="139"/>
    </row>
    <row r="643" spans="1:11" ht="20.25">
      <c r="A643" s="139"/>
      <c r="B643" s="139"/>
      <c r="C643" s="139"/>
      <c r="D643" s="139"/>
      <c r="E643" s="150"/>
      <c r="F643" s="153"/>
      <c r="G643" s="139"/>
      <c r="H643" s="139"/>
      <c r="I643" s="139"/>
      <c r="J643" s="139"/>
      <c r="K643" s="139"/>
    </row>
    <row r="644" spans="1:11" ht="20.25">
      <c r="A644" s="139"/>
      <c r="B644" s="139"/>
      <c r="C644" s="139"/>
      <c r="D644" s="139"/>
      <c r="E644" s="150"/>
      <c r="F644" s="153"/>
      <c r="G644" s="139"/>
      <c r="H644" s="139"/>
      <c r="I644" s="139"/>
      <c r="J644" s="139"/>
      <c r="K644" s="139"/>
    </row>
    <row r="645" spans="1:11" ht="20.25">
      <c r="A645" s="139"/>
      <c r="B645" s="139"/>
      <c r="C645" s="139"/>
      <c r="D645" s="139"/>
      <c r="E645" s="150"/>
      <c r="F645" s="153"/>
      <c r="G645" s="139"/>
      <c r="H645" s="139"/>
      <c r="I645" s="139"/>
      <c r="J645" s="139"/>
      <c r="K645" s="139"/>
    </row>
    <row r="646" spans="1:11" ht="20.25">
      <c r="A646" s="139"/>
      <c r="B646" s="139"/>
      <c r="C646" s="139"/>
      <c r="D646" s="139"/>
      <c r="E646" s="150"/>
      <c r="F646" s="153"/>
      <c r="G646" s="139"/>
      <c r="H646" s="139"/>
      <c r="I646" s="139"/>
      <c r="J646" s="139"/>
      <c r="K646" s="139"/>
    </row>
    <row r="647" spans="1:11" ht="20.25">
      <c r="A647" s="139"/>
      <c r="B647" s="139"/>
      <c r="C647" s="139"/>
      <c r="D647" s="139"/>
      <c r="E647" s="150"/>
      <c r="F647" s="153"/>
      <c r="G647" s="139"/>
      <c r="H647" s="139"/>
      <c r="I647" s="139"/>
      <c r="J647" s="139"/>
      <c r="K647" s="139"/>
    </row>
    <row r="648" spans="1:11" ht="20.25">
      <c r="A648" s="139"/>
      <c r="B648" s="139"/>
      <c r="C648" s="139"/>
      <c r="D648" s="139"/>
      <c r="E648" s="150"/>
      <c r="F648" s="153"/>
      <c r="G648" s="139"/>
      <c r="H648" s="139"/>
      <c r="I648" s="139"/>
      <c r="J648" s="139"/>
      <c r="K648" s="139"/>
    </row>
    <row r="649" spans="1:11" ht="20.25">
      <c r="A649" s="139"/>
      <c r="B649" s="139"/>
      <c r="C649" s="139"/>
      <c r="D649" s="139"/>
      <c r="E649" s="150"/>
      <c r="F649" s="153"/>
      <c r="G649" s="139"/>
      <c r="H649" s="139"/>
      <c r="I649" s="139"/>
      <c r="J649" s="139"/>
      <c r="K649" s="139"/>
    </row>
    <row r="650" spans="1:11" ht="20.25">
      <c r="A650" s="139"/>
      <c r="B650" s="139"/>
      <c r="C650" s="139"/>
      <c r="D650" s="139"/>
      <c r="E650" s="150"/>
      <c r="F650" s="153"/>
      <c r="G650" s="139"/>
      <c r="H650" s="139"/>
      <c r="I650" s="139"/>
      <c r="J650" s="139"/>
      <c r="K650" s="139"/>
    </row>
    <row r="651" spans="1:11" ht="20.25">
      <c r="A651" s="139"/>
      <c r="B651" s="139"/>
      <c r="C651" s="139"/>
      <c r="D651" s="139"/>
      <c r="E651" s="150"/>
      <c r="F651" s="153"/>
      <c r="G651" s="139"/>
      <c r="H651" s="139"/>
      <c r="I651" s="139"/>
      <c r="J651" s="139"/>
      <c r="K651" s="139"/>
    </row>
    <row r="652" spans="1:11" ht="20.25">
      <c r="A652" s="139"/>
      <c r="B652" s="139"/>
      <c r="C652" s="139"/>
      <c r="D652" s="139"/>
      <c r="E652" s="150"/>
      <c r="F652" s="153"/>
      <c r="G652" s="139"/>
      <c r="H652" s="139"/>
      <c r="I652" s="139"/>
      <c r="J652" s="139"/>
      <c r="K652" s="139"/>
    </row>
    <row r="653" spans="1:11" ht="20.25">
      <c r="A653" s="139"/>
      <c r="B653" s="139"/>
      <c r="C653" s="139"/>
      <c r="D653" s="139"/>
      <c r="E653" s="150"/>
      <c r="F653" s="153"/>
      <c r="G653" s="139"/>
      <c r="H653" s="139"/>
      <c r="I653" s="139"/>
      <c r="J653" s="139"/>
      <c r="K653" s="139"/>
    </row>
    <row r="654" spans="1:11" ht="20.25">
      <c r="A654" s="139"/>
      <c r="B654" s="139"/>
      <c r="C654" s="139"/>
      <c r="D654" s="139"/>
      <c r="E654" s="150"/>
      <c r="F654" s="153"/>
      <c r="G654" s="139"/>
      <c r="H654" s="139"/>
      <c r="I654" s="139"/>
      <c r="J654" s="139"/>
      <c r="K654" s="139"/>
    </row>
    <row r="655" spans="1:11" ht="20.25">
      <c r="A655" s="139"/>
      <c r="B655" s="139"/>
      <c r="C655" s="139"/>
      <c r="D655" s="139"/>
      <c r="E655" s="150"/>
      <c r="F655" s="153"/>
      <c r="G655" s="139"/>
      <c r="H655" s="139"/>
      <c r="I655" s="139"/>
      <c r="J655" s="139"/>
      <c r="K655" s="139"/>
    </row>
    <row r="656" spans="1:11" ht="20.25">
      <c r="A656" s="139"/>
      <c r="B656" s="139"/>
      <c r="C656" s="139"/>
      <c r="D656" s="139"/>
      <c r="E656" s="150"/>
      <c r="F656" s="153"/>
      <c r="G656" s="139"/>
      <c r="H656" s="139"/>
      <c r="I656" s="139"/>
      <c r="J656" s="139"/>
      <c r="K656" s="139"/>
    </row>
    <row r="657" spans="1:11" ht="20.25">
      <c r="A657" s="139"/>
      <c r="B657" s="139"/>
      <c r="C657" s="139"/>
      <c r="D657" s="139"/>
      <c r="E657" s="150"/>
      <c r="F657" s="153"/>
      <c r="G657" s="139"/>
      <c r="H657" s="139"/>
      <c r="I657" s="139"/>
      <c r="J657" s="139"/>
      <c r="K657" s="139"/>
    </row>
    <row r="658" spans="1:11" ht="20.25">
      <c r="A658" s="139"/>
      <c r="B658" s="139"/>
      <c r="C658" s="139"/>
      <c r="D658" s="139"/>
      <c r="E658" s="150"/>
      <c r="F658" s="153"/>
      <c r="G658" s="139"/>
      <c r="H658" s="139"/>
      <c r="I658" s="139"/>
      <c r="J658" s="139"/>
      <c r="K658" s="139"/>
    </row>
    <row r="659" spans="1:11" ht="20.25">
      <c r="A659" s="139"/>
      <c r="B659" s="139"/>
      <c r="C659" s="139"/>
      <c r="D659" s="139"/>
      <c r="E659" s="150"/>
      <c r="F659" s="153"/>
      <c r="G659" s="139"/>
      <c r="H659" s="139"/>
      <c r="I659" s="139"/>
      <c r="J659" s="139"/>
      <c r="K659" s="139"/>
    </row>
    <row r="660" spans="1:11" ht="20.25">
      <c r="A660" s="139"/>
      <c r="B660" s="139"/>
      <c r="C660" s="139"/>
      <c r="D660" s="139"/>
      <c r="E660" s="150"/>
      <c r="F660" s="153"/>
      <c r="G660" s="139"/>
      <c r="H660" s="139"/>
      <c r="I660" s="139"/>
      <c r="J660" s="139"/>
      <c r="K660" s="139"/>
    </row>
    <row r="661" spans="1:11" ht="20.25">
      <c r="A661" s="139"/>
      <c r="B661" s="139"/>
      <c r="C661" s="139"/>
      <c r="D661" s="139"/>
      <c r="E661" s="150"/>
      <c r="F661" s="153"/>
      <c r="G661" s="139"/>
      <c r="H661" s="139"/>
      <c r="I661" s="139"/>
      <c r="J661" s="139"/>
      <c r="K661" s="139"/>
    </row>
    <row r="662" spans="1:11" ht="20.25">
      <c r="A662" s="139"/>
      <c r="B662" s="139"/>
      <c r="C662" s="139"/>
      <c r="D662" s="139"/>
      <c r="E662" s="150"/>
      <c r="F662" s="153"/>
      <c r="G662" s="139"/>
      <c r="H662" s="139"/>
      <c r="I662" s="139"/>
      <c r="J662" s="139"/>
      <c r="K662" s="139"/>
    </row>
    <row r="663" spans="1:11" ht="20.25">
      <c r="A663" s="139"/>
      <c r="B663" s="139"/>
      <c r="C663" s="139"/>
      <c r="D663" s="139"/>
      <c r="E663" s="150"/>
      <c r="F663" s="153"/>
      <c r="G663" s="139"/>
      <c r="H663" s="139"/>
      <c r="I663" s="139"/>
      <c r="J663" s="139"/>
      <c r="K663" s="139"/>
    </row>
    <row r="664" spans="1:11" ht="20.25">
      <c r="A664" s="139"/>
      <c r="B664" s="139"/>
      <c r="C664" s="139"/>
      <c r="D664" s="139"/>
      <c r="E664" s="150"/>
      <c r="F664" s="153"/>
      <c r="G664" s="139"/>
      <c r="H664" s="139"/>
      <c r="I664" s="139"/>
      <c r="J664" s="139"/>
      <c r="K664" s="139"/>
    </row>
    <row r="665" spans="1:11" ht="20.25">
      <c r="A665" s="139"/>
      <c r="B665" s="139"/>
      <c r="C665" s="139"/>
      <c r="D665" s="139"/>
      <c r="E665" s="150"/>
      <c r="F665" s="153"/>
      <c r="G665" s="139"/>
      <c r="H665" s="139"/>
      <c r="I665" s="139"/>
      <c r="J665" s="139"/>
      <c r="K665" s="139"/>
    </row>
    <row r="666" spans="1:11" ht="20.25">
      <c r="A666" s="139"/>
      <c r="B666" s="139"/>
      <c r="C666" s="139"/>
      <c r="D666" s="139"/>
      <c r="E666" s="150"/>
      <c r="F666" s="153"/>
      <c r="G666" s="139"/>
      <c r="H666" s="139"/>
      <c r="I666" s="139"/>
      <c r="J666" s="139"/>
      <c r="K666" s="139"/>
    </row>
    <row r="667" spans="1:11" ht="20.25">
      <c r="A667" s="139"/>
      <c r="B667" s="139"/>
      <c r="C667" s="139"/>
      <c r="D667" s="139"/>
      <c r="E667" s="150"/>
      <c r="F667" s="153"/>
      <c r="G667" s="139"/>
      <c r="H667" s="139"/>
      <c r="I667" s="139"/>
      <c r="J667" s="139"/>
      <c r="K667" s="139"/>
    </row>
    <row r="668" spans="1:11" ht="20.25">
      <c r="A668" s="139"/>
      <c r="B668" s="139"/>
      <c r="C668" s="139"/>
      <c r="D668" s="139"/>
      <c r="E668" s="150"/>
      <c r="F668" s="153"/>
      <c r="G668" s="139"/>
      <c r="H668" s="139"/>
      <c r="I668" s="139"/>
      <c r="J668" s="139"/>
      <c r="K668" s="139"/>
    </row>
    <row r="669" spans="1:11" ht="20.25">
      <c r="A669" s="139"/>
      <c r="B669" s="139"/>
      <c r="C669" s="139"/>
      <c r="D669" s="139"/>
      <c r="E669" s="150"/>
      <c r="F669" s="153"/>
      <c r="G669" s="139"/>
      <c r="H669" s="139"/>
      <c r="I669" s="139"/>
      <c r="J669" s="139"/>
      <c r="K669" s="139"/>
    </row>
    <row r="670" spans="1:11" ht="20.25">
      <c r="A670" s="139"/>
      <c r="B670" s="139"/>
      <c r="C670" s="139"/>
      <c r="D670" s="139"/>
      <c r="E670" s="150"/>
      <c r="F670" s="153"/>
      <c r="G670" s="139"/>
      <c r="H670" s="139"/>
      <c r="I670" s="139"/>
      <c r="J670" s="139"/>
      <c r="K670" s="139"/>
    </row>
    <row r="671" spans="1:11" ht="20.25">
      <c r="A671" s="139"/>
      <c r="B671" s="139"/>
      <c r="C671" s="139"/>
      <c r="D671" s="139"/>
      <c r="E671" s="150"/>
      <c r="F671" s="153"/>
      <c r="G671" s="139"/>
      <c r="H671" s="139"/>
      <c r="I671" s="139"/>
      <c r="J671" s="139"/>
      <c r="K671" s="139"/>
    </row>
    <row r="672" spans="1:11" ht="20.25">
      <c r="A672" s="139"/>
      <c r="B672" s="139"/>
      <c r="C672" s="139"/>
      <c r="D672" s="139"/>
      <c r="E672" s="150"/>
      <c r="F672" s="153"/>
      <c r="G672" s="139"/>
      <c r="H672" s="139"/>
      <c r="I672" s="139"/>
      <c r="J672" s="139"/>
      <c r="K672" s="139"/>
    </row>
    <row r="673" spans="1:11" ht="20.25">
      <c r="A673" s="139"/>
      <c r="B673" s="139"/>
      <c r="C673" s="139"/>
      <c r="D673" s="139"/>
      <c r="E673" s="150"/>
      <c r="F673" s="153"/>
      <c r="G673" s="139"/>
      <c r="H673" s="139"/>
      <c r="I673" s="139"/>
      <c r="J673" s="139"/>
      <c r="K673" s="139"/>
    </row>
    <row r="674" spans="1:11" ht="20.25">
      <c r="A674" s="139"/>
      <c r="B674" s="139"/>
      <c r="C674" s="139"/>
      <c r="D674" s="139"/>
      <c r="E674" s="150"/>
      <c r="F674" s="153"/>
      <c r="G674" s="139"/>
      <c r="H674" s="139"/>
      <c r="I674" s="139"/>
      <c r="J674" s="139"/>
      <c r="K674" s="139"/>
    </row>
    <row r="675" spans="1:11" ht="20.25">
      <c r="A675" s="139"/>
      <c r="B675" s="139"/>
      <c r="C675" s="139"/>
      <c r="D675" s="139"/>
      <c r="E675" s="150"/>
      <c r="F675" s="153"/>
      <c r="G675" s="139"/>
      <c r="H675" s="139"/>
      <c r="I675" s="139"/>
      <c r="J675" s="139"/>
      <c r="K675" s="139"/>
    </row>
    <row r="676" spans="1:11" ht="20.25">
      <c r="A676" s="139"/>
      <c r="B676" s="139"/>
      <c r="C676" s="139"/>
      <c r="D676" s="139"/>
      <c r="E676" s="150"/>
      <c r="F676" s="153"/>
      <c r="G676" s="139"/>
      <c r="H676" s="139"/>
      <c r="I676" s="139"/>
      <c r="J676" s="139"/>
      <c r="K676" s="139"/>
    </row>
    <row r="677" spans="1:11" ht="20.25">
      <c r="A677" s="139"/>
      <c r="B677" s="139"/>
      <c r="C677" s="139"/>
      <c r="D677" s="139"/>
      <c r="E677" s="150"/>
      <c r="F677" s="153"/>
      <c r="G677" s="139"/>
      <c r="H677" s="139"/>
      <c r="I677" s="139"/>
      <c r="J677" s="139"/>
      <c r="K677" s="139"/>
    </row>
    <row r="678" spans="1:11" ht="20.25">
      <c r="A678" s="139"/>
      <c r="B678" s="139"/>
      <c r="C678" s="139"/>
      <c r="D678" s="139"/>
      <c r="E678" s="150"/>
      <c r="F678" s="153"/>
      <c r="G678" s="139"/>
      <c r="H678" s="139"/>
      <c r="I678" s="139"/>
      <c r="J678" s="139"/>
      <c r="K678" s="139"/>
    </row>
    <row r="679" spans="1:11" ht="20.25">
      <c r="A679" s="139"/>
      <c r="B679" s="139"/>
      <c r="C679" s="139"/>
      <c r="D679" s="139"/>
      <c r="E679" s="150"/>
      <c r="F679" s="153"/>
      <c r="G679" s="139"/>
      <c r="H679" s="139"/>
      <c r="I679" s="139"/>
      <c r="J679" s="139"/>
      <c r="K679" s="139"/>
    </row>
    <row r="680" spans="1:11" ht="20.25">
      <c r="A680" s="139"/>
      <c r="B680" s="139"/>
      <c r="C680" s="139"/>
      <c r="D680" s="139"/>
      <c r="E680" s="150"/>
      <c r="F680" s="153"/>
      <c r="G680" s="139"/>
      <c r="H680" s="139"/>
      <c r="I680" s="139"/>
      <c r="J680" s="139"/>
      <c r="K680" s="139"/>
    </row>
    <row r="681" spans="1:11" ht="20.25">
      <c r="A681" s="139"/>
      <c r="B681" s="139"/>
      <c r="C681" s="139"/>
      <c r="D681" s="139"/>
      <c r="E681" s="150"/>
      <c r="F681" s="153"/>
      <c r="G681" s="139"/>
      <c r="H681" s="139"/>
      <c r="I681" s="139"/>
      <c r="J681" s="139"/>
      <c r="K681" s="139"/>
    </row>
    <row r="682" spans="1:11" ht="20.25">
      <c r="A682" s="139"/>
      <c r="B682" s="139"/>
      <c r="C682" s="139"/>
      <c r="D682" s="139"/>
      <c r="E682" s="150"/>
      <c r="F682" s="153"/>
      <c r="G682" s="139"/>
      <c r="H682" s="139"/>
      <c r="I682" s="139"/>
      <c r="J682" s="139"/>
      <c r="K682" s="139"/>
    </row>
    <row r="683" spans="1:11" ht="20.25">
      <c r="A683" s="139"/>
      <c r="B683" s="139"/>
      <c r="C683" s="139"/>
      <c r="D683" s="139"/>
      <c r="E683" s="150"/>
      <c r="F683" s="153"/>
      <c r="G683" s="139"/>
      <c r="H683" s="139"/>
      <c r="I683" s="139"/>
      <c r="J683" s="139"/>
      <c r="K683" s="139"/>
    </row>
    <row r="684" spans="1:11" ht="20.25">
      <c r="A684" s="139"/>
      <c r="B684" s="139"/>
      <c r="C684" s="139"/>
      <c r="D684" s="139"/>
      <c r="E684" s="150"/>
      <c r="F684" s="153"/>
      <c r="G684" s="139"/>
      <c r="H684" s="139"/>
      <c r="I684" s="139"/>
      <c r="J684" s="139"/>
      <c r="K684" s="139"/>
    </row>
    <row r="685" spans="1:11" ht="20.25">
      <c r="A685" s="139"/>
      <c r="B685" s="139"/>
      <c r="C685" s="139"/>
      <c r="D685" s="139"/>
      <c r="E685" s="150"/>
      <c r="F685" s="153"/>
      <c r="G685" s="139"/>
      <c r="H685" s="139"/>
      <c r="I685" s="139"/>
      <c r="J685" s="139"/>
      <c r="K685" s="139"/>
    </row>
    <row r="686" spans="1:11" ht="20.25">
      <c r="A686" s="139"/>
      <c r="B686" s="139"/>
      <c r="C686" s="139"/>
      <c r="D686" s="139"/>
      <c r="E686" s="150"/>
      <c r="F686" s="153"/>
      <c r="G686" s="139"/>
      <c r="H686" s="139"/>
      <c r="I686" s="139"/>
      <c r="J686" s="139"/>
      <c r="K686" s="139"/>
    </row>
    <row r="687" spans="1:11" ht="20.25">
      <c r="A687" s="139"/>
      <c r="B687" s="139"/>
      <c r="C687" s="139"/>
      <c r="D687" s="139"/>
      <c r="E687" s="150"/>
      <c r="F687" s="153"/>
      <c r="G687" s="139"/>
      <c r="H687" s="139"/>
      <c r="I687" s="139"/>
      <c r="J687" s="139"/>
      <c r="K687" s="139"/>
    </row>
    <row r="688" spans="1:11" ht="20.25">
      <c r="A688" s="139"/>
      <c r="B688" s="139"/>
      <c r="C688" s="139"/>
      <c r="D688" s="139"/>
      <c r="E688" s="150"/>
      <c r="F688" s="153"/>
      <c r="G688" s="139"/>
      <c r="H688" s="139"/>
      <c r="I688" s="139"/>
      <c r="J688" s="139"/>
      <c r="K688" s="139"/>
    </row>
    <row r="689" spans="1:11" ht="20.25">
      <c r="A689" s="139"/>
      <c r="B689" s="139"/>
      <c r="C689" s="139"/>
      <c r="D689" s="139"/>
      <c r="E689" s="150"/>
      <c r="F689" s="153"/>
      <c r="G689" s="139"/>
      <c r="H689" s="139"/>
      <c r="I689" s="139"/>
      <c r="J689" s="139"/>
      <c r="K689" s="139"/>
    </row>
    <row r="690" spans="1:11" ht="20.25">
      <c r="A690" s="139"/>
      <c r="B690" s="139"/>
      <c r="C690" s="139"/>
      <c r="D690" s="139"/>
      <c r="E690" s="150"/>
      <c r="F690" s="153"/>
      <c r="G690" s="139"/>
      <c r="H690" s="139"/>
      <c r="I690" s="139"/>
      <c r="J690" s="139"/>
      <c r="K690" s="139"/>
    </row>
    <row r="691" spans="1:11" ht="20.25">
      <c r="A691" s="139"/>
      <c r="B691" s="139"/>
      <c r="C691" s="139"/>
      <c r="D691" s="139"/>
      <c r="E691" s="150"/>
      <c r="F691" s="153"/>
      <c r="G691" s="139"/>
      <c r="H691" s="139"/>
      <c r="I691" s="139"/>
      <c r="J691" s="139"/>
      <c r="K691" s="139"/>
    </row>
    <row r="692" spans="1:11" ht="20.25">
      <c r="A692" s="139"/>
      <c r="B692" s="139"/>
      <c r="C692" s="139"/>
      <c r="D692" s="139"/>
      <c r="E692" s="150"/>
      <c r="F692" s="153"/>
      <c r="G692" s="139"/>
      <c r="H692" s="139"/>
      <c r="I692" s="139"/>
      <c r="J692" s="139"/>
      <c r="K692" s="139"/>
    </row>
    <row r="693" spans="1:11" ht="20.25">
      <c r="A693" s="139"/>
      <c r="B693" s="139"/>
      <c r="C693" s="139"/>
      <c r="D693" s="139"/>
      <c r="E693" s="150"/>
      <c r="F693" s="153"/>
      <c r="G693" s="139"/>
      <c r="H693" s="139"/>
      <c r="I693" s="139"/>
      <c r="J693" s="139"/>
      <c r="K693" s="139"/>
    </row>
    <row r="694" spans="1:11" ht="20.25">
      <c r="A694" s="139"/>
      <c r="B694" s="139"/>
      <c r="C694" s="139"/>
      <c r="D694" s="139"/>
      <c r="E694" s="150"/>
      <c r="F694" s="153"/>
      <c r="G694" s="139"/>
      <c r="H694" s="139"/>
      <c r="I694" s="139"/>
      <c r="J694" s="139"/>
      <c r="K694" s="139"/>
    </row>
    <row r="695" spans="1:11" ht="20.25">
      <c r="A695" s="139"/>
      <c r="B695" s="139"/>
      <c r="C695" s="139"/>
      <c r="D695" s="139"/>
      <c r="E695" s="150"/>
      <c r="F695" s="153"/>
      <c r="G695" s="139"/>
      <c r="H695" s="139"/>
      <c r="I695" s="139"/>
      <c r="J695" s="139"/>
      <c r="K695" s="139"/>
    </row>
    <row r="696" spans="1:11" ht="20.25">
      <c r="A696" s="139"/>
      <c r="B696" s="139"/>
      <c r="C696" s="139"/>
      <c r="D696" s="139"/>
      <c r="E696" s="150"/>
      <c r="F696" s="153"/>
      <c r="G696" s="139"/>
      <c r="H696" s="139"/>
      <c r="I696" s="139"/>
      <c r="J696" s="139"/>
      <c r="K696" s="139"/>
    </row>
    <row r="697" spans="1:11" ht="20.25">
      <c r="A697" s="139"/>
      <c r="B697" s="139"/>
      <c r="C697" s="139"/>
      <c r="D697" s="139"/>
      <c r="E697" s="150"/>
      <c r="F697" s="153"/>
      <c r="G697" s="139"/>
      <c r="H697" s="139"/>
      <c r="I697" s="139"/>
      <c r="J697" s="139"/>
      <c r="K697" s="139"/>
    </row>
    <row r="698" spans="1:11" ht="20.25">
      <c r="A698" s="139"/>
      <c r="B698" s="139"/>
      <c r="C698" s="139"/>
      <c r="D698" s="139"/>
      <c r="E698" s="150"/>
      <c r="F698" s="153"/>
      <c r="G698" s="139"/>
      <c r="H698" s="139"/>
      <c r="I698" s="139"/>
      <c r="J698" s="139"/>
      <c r="K698" s="139"/>
    </row>
    <row r="699" spans="1:11" ht="20.25">
      <c r="A699" s="139"/>
      <c r="B699" s="139"/>
      <c r="C699" s="139"/>
      <c r="D699" s="139"/>
      <c r="E699" s="150"/>
      <c r="F699" s="153"/>
      <c r="G699" s="139"/>
      <c r="H699" s="139"/>
      <c r="I699" s="139"/>
      <c r="J699" s="139"/>
      <c r="K699" s="139"/>
    </row>
    <row r="700" spans="1:11" ht="20.25">
      <c r="A700" s="139"/>
      <c r="B700" s="139"/>
      <c r="C700" s="139"/>
      <c r="D700" s="139"/>
      <c r="E700" s="150"/>
      <c r="F700" s="153"/>
      <c r="G700" s="139"/>
      <c r="H700" s="139"/>
      <c r="I700" s="139"/>
      <c r="J700" s="139"/>
      <c r="K700" s="139"/>
    </row>
    <row r="701" spans="1:11" ht="20.25">
      <c r="A701" s="139"/>
      <c r="B701" s="139"/>
      <c r="C701" s="139"/>
      <c r="D701" s="139"/>
      <c r="E701" s="150"/>
      <c r="F701" s="153"/>
      <c r="G701" s="139"/>
      <c r="H701" s="139"/>
      <c r="I701" s="139"/>
      <c r="J701" s="139"/>
      <c r="K701" s="139"/>
    </row>
    <row r="702" spans="1:11" ht="20.25">
      <c r="A702" s="139"/>
      <c r="B702" s="139"/>
      <c r="C702" s="139"/>
      <c r="D702" s="139"/>
      <c r="E702" s="150"/>
      <c r="F702" s="153"/>
      <c r="G702" s="139"/>
      <c r="H702" s="139"/>
      <c r="I702" s="139"/>
      <c r="J702" s="139"/>
      <c r="K702" s="139"/>
    </row>
    <row r="703" spans="1:11" ht="20.25">
      <c r="A703" s="139"/>
      <c r="B703" s="139"/>
      <c r="C703" s="139"/>
      <c r="D703" s="139"/>
      <c r="E703" s="150"/>
      <c r="F703" s="153"/>
      <c r="G703" s="139"/>
      <c r="H703" s="139"/>
      <c r="I703" s="139"/>
      <c r="J703" s="139"/>
      <c r="K703" s="139"/>
    </row>
    <row r="704" spans="1:11" ht="20.25">
      <c r="A704" s="139"/>
      <c r="B704" s="139"/>
      <c r="C704" s="139"/>
      <c r="D704" s="139"/>
      <c r="E704" s="150"/>
      <c r="F704" s="153"/>
      <c r="G704" s="139"/>
      <c r="H704" s="139"/>
      <c r="I704" s="139"/>
      <c r="J704" s="139"/>
      <c r="K704" s="139"/>
    </row>
    <row r="705" spans="1:11" ht="20.25">
      <c r="A705" s="139"/>
      <c r="B705" s="139"/>
      <c r="C705" s="139"/>
      <c r="D705" s="139"/>
      <c r="E705" s="150"/>
      <c r="F705" s="153"/>
      <c r="G705" s="139"/>
      <c r="H705" s="139"/>
      <c r="I705" s="139"/>
      <c r="J705" s="139"/>
      <c r="K705" s="139"/>
    </row>
    <row r="706" spans="1:11" ht="20.25">
      <c r="A706" s="139"/>
      <c r="B706" s="139"/>
      <c r="C706" s="139"/>
      <c r="D706" s="139"/>
      <c r="E706" s="150"/>
      <c r="F706" s="153"/>
      <c r="G706" s="139"/>
      <c r="H706" s="139"/>
      <c r="I706" s="139"/>
      <c r="J706" s="139"/>
      <c r="K706" s="139"/>
    </row>
    <row r="707" spans="1:11" ht="20.25">
      <c r="A707" s="139"/>
      <c r="B707" s="139"/>
      <c r="C707" s="139"/>
      <c r="D707" s="139"/>
      <c r="E707" s="150"/>
      <c r="F707" s="153"/>
      <c r="G707" s="139"/>
      <c r="H707" s="139"/>
      <c r="I707" s="139"/>
      <c r="J707" s="139"/>
      <c r="K707" s="139"/>
    </row>
    <row r="708" spans="1:11" ht="20.25">
      <c r="A708" s="139"/>
      <c r="B708" s="139"/>
      <c r="C708" s="139"/>
      <c r="D708" s="139"/>
      <c r="E708" s="150"/>
      <c r="F708" s="153"/>
      <c r="G708" s="139"/>
      <c r="H708" s="139"/>
      <c r="I708" s="139"/>
      <c r="J708" s="139"/>
      <c r="K708" s="139"/>
    </row>
    <row r="709" spans="1:11" ht="20.25">
      <c r="A709" s="139"/>
      <c r="B709" s="139"/>
      <c r="C709" s="139"/>
      <c r="D709" s="139"/>
      <c r="E709" s="150"/>
      <c r="F709" s="153"/>
      <c r="G709" s="139"/>
      <c r="H709" s="139"/>
      <c r="I709" s="139"/>
      <c r="J709" s="139"/>
      <c r="K709" s="139"/>
    </row>
    <row r="710" spans="1:11" ht="20.25">
      <c r="A710" s="139"/>
      <c r="B710" s="139"/>
      <c r="C710" s="139"/>
      <c r="D710" s="139"/>
      <c r="E710" s="150"/>
      <c r="F710" s="153"/>
      <c r="G710" s="139"/>
      <c r="H710" s="139"/>
      <c r="I710" s="139"/>
      <c r="J710" s="139"/>
      <c r="K710" s="139"/>
    </row>
    <row r="711" spans="1:11" ht="20.25">
      <c r="A711" s="139"/>
      <c r="B711" s="139"/>
      <c r="C711" s="139"/>
      <c r="D711" s="139"/>
      <c r="E711" s="150"/>
      <c r="F711" s="153"/>
      <c r="G711" s="139"/>
      <c r="H711" s="139"/>
      <c r="I711" s="139"/>
      <c r="J711" s="139"/>
      <c r="K711" s="139"/>
    </row>
    <row r="712" spans="1:11" ht="20.25">
      <c r="A712" s="139"/>
      <c r="B712" s="139"/>
      <c r="C712" s="139"/>
      <c r="D712" s="139"/>
      <c r="E712" s="150"/>
      <c r="F712" s="153"/>
      <c r="G712" s="139"/>
      <c r="H712" s="139"/>
      <c r="I712" s="139"/>
      <c r="J712" s="139"/>
      <c r="K712" s="139"/>
    </row>
    <row r="713" spans="1:11" ht="20.25">
      <c r="A713" s="139"/>
      <c r="B713" s="139"/>
      <c r="C713" s="139"/>
      <c r="D713" s="139"/>
      <c r="E713" s="150"/>
      <c r="F713" s="153"/>
      <c r="G713" s="139"/>
      <c r="H713" s="139"/>
      <c r="I713" s="139"/>
      <c r="J713" s="139"/>
      <c r="K713" s="139"/>
    </row>
    <row r="714" spans="1:11" ht="20.25">
      <c r="A714" s="139"/>
      <c r="B714" s="139"/>
      <c r="C714" s="139"/>
      <c r="D714" s="139"/>
      <c r="E714" s="150"/>
      <c r="F714" s="153"/>
      <c r="G714" s="139"/>
      <c r="H714" s="139"/>
      <c r="I714" s="139"/>
      <c r="J714" s="139"/>
      <c r="K714" s="139"/>
    </row>
    <row r="715" spans="1:11" ht="20.25">
      <c r="A715" s="139"/>
      <c r="B715" s="139"/>
      <c r="C715" s="139"/>
      <c r="D715" s="139"/>
      <c r="E715" s="150"/>
      <c r="F715" s="153"/>
      <c r="G715" s="139"/>
      <c r="H715" s="139"/>
      <c r="I715" s="139"/>
      <c r="J715" s="139"/>
      <c r="K715" s="139"/>
    </row>
    <row r="716" spans="1:11" ht="20.25">
      <c r="A716" s="139"/>
      <c r="B716" s="139"/>
      <c r="C716" s="139"/>
      <c r="D716" s="139"/>
      <c r="E716" s="150"/>
      <c r="F716" s="153"/>
      <c r="G716" s="139"/>
      <c r="H716" s="139"/>
      <c r="I716" s="139"/>
      <c r="J716" s="139"/>
      <c r="K716" s="139"/>
    </row>
    <row r="717" spans="1:11" ht="20.25">
      <c r="A717" s="139"/>
      <c r="B717" s="139"/>
      <c r="C717" s="139"/>
      <c r="D717" s="139"/>
      <c r="E717" s="150"/>
      <c r="F717" s="153"/>
      <c r="G717" s="139"/>
      <c r="H717" s="139"/>
      <c r="I717" s="139"/>
      <c r="J717" s="139"/>
      <c r="K717" s="139"/>
    </row>
    <row r="718" spans="1:11" ht="20.25">
      <c r="A718" s="139"/>
      <c r="B718" s="139"/>
      <c r="C718" s="139"/>
      <c r="D718" s="139"/>
      <c r="E718" s="150"/>
      <c r="F718" s="153"/>
      <c r="G718" s="139"/>
      <c r="H718" s="139"/>
      <c r="I718" s="139"/>
      <c r="J718" s="139"/>
      <c r="K718" s="139"/>
    </row>
    <row r="719" spans="1:11" ht="20.25">
      <c r="A719" s="139"/>
      <c r="B719" s="139"/>
      <c r="C719" s="139"/>
      <c r="D719" s="139"/>
      <c r="E719" s="150"/>
      <c r="F719" s="153"/>
      <c r="G719" s="139"/>
      <c r="H719" s="139"/>
      <c r="I719" s="139"/>
      <c r="J719" s="139"/>
      <c r="K719" s="139"/>
    </row>
    <row r="720" spans="1:11" ht="20.25">
      <c r="A720" s="139"/>
      <c r="B720" s="139"/>
      <c r="C720" s="139"/>
      <c r="D720" s="139"/>
      <c r="E720" s="150"/>
      <c r="F720" s="153"/>
      <c r="G720" s="139"/>
      <c r="H720" s="139"/>
      <c r="I720" s="139"/>
      <c r="J720" s="139"/>
      <c r="K720" s="139"/>
    </row>
    <row r="721" spans="1:11" ht="20.25">
      <c r="A721" s="139"/>
      <c r="B721" s="139"/>
      <c r="C721" s="139"/>
      <c r="D721" s="139"/>
      <c r="E721" s="150"/>
      <c r="F721" s="153"/>
      <c r="G721" s="139"/>
      <c r="H721" s="139"/>
      <c r="I721" s="139"/>
      <c r="J721" s="139"/>
      <c r="K721" s="139"/>
    </row>
    <row r="722" spans="1:11" ht="20.25">
      <c r="A722" s="139"/>
      <c r="B722" s="139"/>
      <c r="C722" s="139"/>
      <c r="D722" s="139"/>
      <c r="E722" s="150"/>
      <c r="F722" s="153"/>
      <c r="G722" s="139"/>
      <c r="H722" s="139"/>
      <c r="I722" s="139"/>
      <c r="J722" s="139"/>
      <c r="K722" s="139"/>
    </row>
    <row r="723" spans="1:11" ht="20.25">
      <c r="A723" s="139"/>
      <c r="B723" s="139"/>
      <c r="C723" s="139"/>
      <c r="D723" s="139"/>
      <c r="E723" s="150"/>
      <c r="F723" s="153"/>
      <c r="G723" s="139"/>
      <c r="H723" s="139"/>
      <c r="I723" s="139"/>
      <c r="J723" s="139"/>
      <c r="K723" s="139"/>
    </row>
    <row r="724" spans="1:11" ht="20.25">
      <c r="A724" s="139"/>
      <c r="B724" s="139"/>
      <c r="C724" s="139"/>
      <c r="D724" s="139"/>
      <c r="E724" s="150"/>
      <c r="F724" s="153"/>
      <c r="G724" s="139"/>
      <c r="H724" s="139"/>
      <c r="I724" s="139"/>
      <c r="J724" s="139"/>
      <c r="K724" s="139"/>
    </row>
    <row r="725" spans="1:11" ht="20.25">
      <c r="A725" s="139"/>
      <c r="B725" s="139"/>
      <c r="C725" s="139"/>
      <c r="D725" s="139"/>
      <c r="E725" s="150"/>
      <c r="F725" s="153"/>
      <c r="G725" s="139"/>
      <c r="H725" s="139"/>
      <c r="I725" s="139"/>
      <c r="J725" s="139"/>
      <c r="K725" s="139"/>
    </row>
    <row r="726" spans="1:11" ht="20.25">
      <c r="A726" s="139"/>
      <c r="B726" s="139"/>
      <c r="C726" s="139"/>
      <c r="D726" s="139"/>
      <c r="E726" s="150"/>
      <c r="F726" s="153"/>
      <c r="G726" s="139"/>
      <c r="H726" s="139"/>
      <c r="I726" s="139"/>
      <c r="J726" s="139"/>
      <c r="K726" s="139"/>
    </row>
    <row r="727" spans="1:11" ht="20.25">
      <c r="A727" s="139"/>
      <c r="B727" s="139"/>
      <c r="C727" s="139"/>
      <c r="D727" s="139"/>
      <c r="E727" s="150"/>
      <c r="F727" s="153"/>
      <c r="G727" s="139"/>
      <c r="H727" s="139"/>
      <c r="I727" s="139"/>
      <c r="J727" s="139"/>
      <c r="K727" s="139"/>
    </row>
    <row r="728" spans="1:11" ht="20.25">
      <c r="A728" s="139"/>
      <c r="B728" s="139"/>
      <c r="C728" s="139"/>
      <c r="D728" s="139"/>
      <c r="E728" s="150"/>
      <c r="F728" s="153"/>
      <c r="G728" s="139"/>
      <c r="H728" s="139"/>
      <c r="I728" s="139"/>
      <c r="J728" s="139"/>
      <c r="K728" s="139"/>
    </row>
    <row r="729" spans="1:11" ht="20.25">
      <c r="A729" s="139"/>
      <c r="B729" s="139"/>
      <c r="C729" s="139"/>
      <c r="D729" s="139"/>
      <c r="E729" s="150"/>
      <c r="F729" s="153"/>
      <c r="G729" s="139"/>
      <c r="H729" s="139"/>
      <c r="I729" s="139"/>
      <c r="J729" s="139"/>
      <c r="K729" s="139"/>
    </row>
    <row r="730" spans="1:11" ht="20.25">
      <c r="A730" s="139"/>
      <c r="B730" s="139"/>
      <c r="C730" s="139"/>
      <c r="D730" s="139"/>
      <c r="E730" s="150"/>
      <c r="F730" s="153"/>
      <c r="G730" s="139"/>
      <c r="H730" s="139"/>
      <c r="I730" s="139"/>
      <c r="J730" s="139"/>
      <c r="K730" s="139"/>
    </row>
    <row r="731" spans="1:11" ht="20.25">
      <c r="A731" s="139"/>
      <c r="B731" s="139"/>
      <c r="C731" s="139"/>
      <c r="D731" s="139"/>
      <c r="E731" s="150"/>
      <c r="F731" s="153"/>
      <c r="G731" s="139"/>
      <c r="H731" s="139"/>
      <c r="I731" s="139"/>
      <c r="J731" s="139"/>
      <c r="K731" s="139"/>
    </row>
    <row r="732" spans="1:11" ht="20.25">
      <c r="A732" s="139"/>
      <c r="B732" s="139"/>
      <c r="C732" s="139"/>
      <c r="D732" s="139"/>
      <c r="E732" s="150"/>
      <c r="F732" s="153"/>
      <c r="G732" s="139"/>
      <c r="H732" s="139"/>
      <c r="I732" s="139"/>
      <c r="J732" s="139"/>
      <c r="K732" s="139"/>
    </row>
    <row r="733" spans="1:11" ht="20.25">
      <c r="A733" s="139"/>
      <c r="B733" s="139"/>
      <c r="C733" s="139"/>
      <c r="D733" s="139"/>
      <c r="E733" s="150"/>
      <c r="F733" s="153"/>
      <c r="G733" s="139"/>
      <c r="H733" s="139"/>
      <c r="I733" s="139"/>
      <c r="J733" s="139"/>
      <c r="K733" s="139"/>
    </row>
    <row r="734" spans="1:11" ht="20.25">
      <c r="A734" s="139"/>
      <c r="B734" s="139"/>
      <c r="C734" s="139"/>
      <c r="D734" s="139"/>
      <c r="E734" s="150"/>
      <c r="F734" s="153"/>
      <c r="G734" s="139"/>
      <c r="H734" s="139"/>
      <c r="I734" s="139"/>
      <c r="J734" s="139"/>
      <c r="K734" s="139"/>
    </row>
    <row r="735" spans="1:11" ht="20.25">
      <c r="A735" s="139"/>
      <c r="B735" s="139"/>
      <c r="C735" s="139"/>
      <c r="D735" s="139"/>
      <c r="E735" s="150"/>
      <c r="F735" s="153"/>
      <c r="G735" s="139"/>
      <c r="H735" s="139"/>
      <c r="I735" s="139"/>
      <c r="J735" s="139"/>
      <c r="K735" s="139"/>
    </row>
    <row r="736" spans="1:11" ht="20.25">
      <c r="A736" s="139"/>
      <c r="B736" s="139"/>
      <c r="C736" s="139"/>
      <c r="D736" s="139"/>
      <c r="E736" s="150"/>
      <c r="F736" s="153"/>
      <c r="G736" s="139"/>
      <c r="H736" s="139"/>
      <c r="I736" s="139"/>
      <c r="J736" s="139"/>
      <c r="K736" s="139"/>
    </row>
    <row r="737" spans="1:11" ht="20.25">
      <c r="A737" s="139"/>
      <c r="B737" s="139"/>
      <c r="C737" s="139"/>
      <c r="D737" s="139"/>
      <c r="E737" s="150"/>
      <c r="F737" s="153"/>
      <c r="G737" s="139"/>
      <c r="H737" s="139"/>
      <c r="I737" s="139"/>
      <c r="J737" s="139"/>
      <c r="K737" s="139"/>
    </row>
    <row r="738" spans="1:11" ht="20.25">
      <c r="A738" s="139"/>
      <c r="B738" s="139"/>
      <c r="C738" s="139"/>
      <c r="D738" s="139"/>
      <c r="E738" s="150"/>
      <c r="F738" s="153"/>
      <c r="G738" s="139"/>
      <c r="H738" s="139"/>
      <c r="I738" s="139"/>
      <c r="J738" s="139"/>
      <c r="K738" s="139"/>
    </row>
    <row r="739" spans="1:11" ht="20.25">
      <c r="A739" s="139"/>
      <c r="B739" s="139"/>
      <c r="C739" s="139"/>
      <c r="D739" s="139"/>
      <c r="E739" s="150"/>
      <c r="F739" s="153"/>
      <c r="G739" s="139"/>
      <c r="H739" s="139"/>
      <c r="I739" s="139"/>
      <c r="J739" s="139"/>
      <c r="K739" s="139"/>
    </row>
    <row r="740" spans="1:11" ht="20.25">
      <c r="A740" s="139"/>
      <c r="B740" s="139"/>
      <c r="C740" s="139"/>
      <c r="D740" s="139"/>
      <c r="E740" s="150"/>
      <c r="F740" s="153"/>
      <c r="G740" s="139"/>
      <c r="H740" s="139"/>
      <c r="I740" s="139"/>
      <c r="J740" s="139"/>
      <c r="K740" s="139"/>
    </row>
    <row r="741" spans="1:11" ht="20.25">
      <c r="A741" s="139"/>
      <c r="B741" s="139"/>
      <c r="C741" s="139"/>
      <c r="D741" s="139"/>
      <c r="E741" s="150"/>
      <c r="F741" s="153"/>
      <c r="G741" s="139"/>
      <c r="H741" s="139"/>
      <c r="I741" s="139"/>
      <c r="J741" s="139"/>
      <c r="K741" s="139"/>
    </row>
    <row r="742" spans="1:11" ht="20.25">
      <c r="A742" s="139"/>
      <c r="B742" s="139"/>
      <c r="C742" s="139"/>
      <c r="D742" s="139"/>
      <c r="E742" s="150"/>
      <c r="F742" s="153"/>
      <c r="G742" s="139"/>
      <c r="H742" s="139"/>
      <c r="I742" s="139"/>
      <c r="J742" s="139"/>
      <c r="K742" s="139"/>
    </row>
    <row r="743" spans="1:11" ht="20.25">
      <c r="A743" s="139"/>
      <c r="B743" s="139"/>
      <c r="C743" s="139"/>
      <c r="D743" s="139"/>
      <c r="E743" s="150"/>
      <c r="F743" s="153"/>
      <c r="G743" s="139"/>
      <c r="H743" s="139"/>
      <c r="I743" s="139"/>
      <c r="J743" s="139"/>
      <c r="K743" s="139"/>
    </row>
    <row r="744" spans="1:11" ht="20.25">
      <c r="A744" s="139"/>
      <c r="B744" s="139"/>
      <c r="C744" s="139"/>
      <c r="D744" s="139"/>
      <c r="E744" s="150"/>
      <c r="F744" s="153"/>
      <c r="G744" s="139"/>
      <c r="H744" s="139"/>
      <c r="I744" s="139"/>
      <c r="J744" s="139"/>
      <c r="K744" s="139"/>
    </row>
    <row r="745" spans="1:11" ht="20.25">
      <c r="A745" s="139"/>
      <c r="B745" s="139"/>
      <c r="C745" s="139"/>
      <c r="D745" s="139"/>
      <c r="E745" s="150"/>
      <c r="F745" s="153"/>
      <c r="G745" s="139"/>
      <c r="H745" s="139"/>
      <c r="I745" s="139"/>
      <c r="J745" s="139"/>
      <c r="K745" s="139"/>
    </row>
    <row r="746" spans="1:11" ht="20.25">
      <c r="A746" s="139"/>
      <c r="B746" s="139"/>
      <c r="C746" s="139"/>
      <c r="D746" s="139"/>
      <c r="E746" s="150"/>
      <c r="F746" s="153"/>
      <c r="G746" s="139"/>
      <c r="H746" s="139"/>
      <c r="I746" s="139"/>
      <c r="J746" s="139"/>
      <c r="K746" s="139"/>
    </row>
    <row r="747" spans="1:11" ht="20.25">
      <c r="A747" s="139"/>
      <c r="B747" s="139"/>
      <c r="C747" s="139"/>
      <c r="D747" s="139"/>
      <c r="E747" s="150"/>
      <c r="F747" s="153"/>
      <c r="G747" s="139"/>
      <c r="H747" s="139"/>
      <c r="I747" s="139"/>
      <c r="J747" s="139"/>
      <c r="K747" s="139"/>
    </row>
    <row r="748" spans="1:11" ht="20.25">
      <c r="A748" s="139"/>
      <c r="B748" s="139"/>
      <c r="C748" s="139"/>
      <c r="D748" s="139"/>
      <c r="E748" s="150"/>
      <c r="F748" s="153"/>
      <c r="G748" s="139"/>
      <c r="H748" s="139"/>
      <c r="I748" s="139"/>
      <c r="J748" s="139"/>
      <c r="K748" s="139"/>
    </row>
    <row r="749" spans="1:11" ht="20.25">
      <c r="A749" s="139"/>
      <c r="B749" s="139"/>
      <c r="C749" s="139"/>
      <c r="D749" s="139"/>
      <c r="E749" s="150"/>
      <c r="F749" s="153"/>
      <c r="G749" s="139"/>
      <c r="H749" s="139"/>
      <c r="I749" s="139"/>
      <c r="J749" s="139"/>
      <c r="K749" s="139"/>
    </row>
    <row r="750" spans="1:11" ht="20.25">
      <c r="A750" s="139"/>
      <c r="B750" s="139"/>
      <c r="C750" s="139"/>
      <c r="D750" s="139"/>
      <c r="E750" s="150"/>
      <c r="F750" s="153"/>
      <c r="G750" s="139"/>
      <c r="H750" s="139"/>
      <c r="I750" s="139"/>
      <c r="J750" s="139"/>
      <c r="K750" s="139"/>
    </row>
    <row r="751" spans="1:11" ht="20.25">
      <c r="A751" s="139"/>
      <c r="B751" s="139"/>
      <c r="C751" s="139"/>
      <c r="D751" s="139"/>
      <c r="E751" s="150"/>
      <c r="F751" s="153"/>
      <c r="G751" s="139"/>
      <c r="H751" s="139"/>
      <c r="I751" s="139"/>
      <c r="J751" s="139"/>
      <c r="K751" s="139"/>
    </row>
    <row r="752" spans="1:11" ht="20.25">
      <c r="A752" s="139"/>
      <c r="B752" s="139"/>
      <c r="C752" s="139"/>
      <c r="D752" s="139"/>
      <c r="E752" s="150"/>
      <c r="F752" s="153"/>
      <c r="G752" s="139"/>
      <c r="H752" s="139"/>
      <c r="I752" s="139"/>
      <c r="J752" s="139"/>
      <c r="K752" s="139"/>
    </row>
    <row r="753" spans="1:11" ht="20.25">
      <c r="A753" s="139"/>
      <c r="B753" s="139"/>
      <c r="C753" s="139"/>
      <c r="D753" s="139"/>
      <c r="E753" s="150"/>
      <c r="F753" s="153"/>
      <c r="G753" s="139"/>
      <c r="H753" s="139"/>
      <c r="I753" s="139"/>
      <c r="J753" s="139"/>
      <c r="K753" s="139"/>
    </row>
    <row r="754" spans="1:11" ht="20.25">
      <c r="A754" s="139"/>
      <c r="B754" s="139"/>
      <c r="C754" s="139"/>
      <c r="D754" s="139"/>
      <c r="E754" s="150"/>
      <c r="F754" s="153"/>
      <c r="G754" s="139"/>
      <c r="H754" s="139"/>
      <c r="I754" s="139"/>
      <c r="J754" s="139"/>
      <c r="K754" s="139"/>
    </row>
    <row r="755" spans="1:11" ht="20.25">
      <c r="A755" s="139"/>
      <c r="B755" s="139"/>
      <c r="C755" s="139"/>
      <c r="D755" s="139"/>
      <c r="E755" s="150"/>
      <c r="F755" s="153"/>
      <c r="G755" s="139"/>
      <c r="H755" s="139"/>
      <c r="I755" s="139"/>
      <c r="J755" s="139"/>
      <c r="K755" s="139"/>
    </row>
  </sheetData>
  <mergeCells count="79">
    <mergeCell ref="B43:C43"/>
    <mergeCell ref="H35:I35"/>
    <mergeCell ref="J35:K35"/>
    <mergeCell ref="H36:I36"/>
    <mergeCell ref="J36:K36"/>
    <mergeCell ref="H37:I37"/>
    <mergeCell ref="J37:K37"/>
    <mergeCell ref="A38:K38"/>
    <mergeCell ref="B39:I39"/>
    <mergeCell ref="A40:K40"/>
    <mergeCell ref="B42:C42"/>
    <mergeCell ref="F42:G42"/>
    <mergeCell ref="H32:I32"/>
    <mergeCell ref="J32:K32"/>
    <mergeCell ref="H33:I33"/>
    <mergeCell ref="J33:K33"/>
    <mergeCell ref="H34:I34"/>
    <mergeCell ref="J34:K34"/>
    <mergeCell ref="H29:I29"/>
    <mergeCell ref="J29:K29"/>
    <mergeCell ref="H30:I30"/>
    <mergeCell ref="J30:K30"/>
    <mergeCell ref="H31:I31"/>
    <mergeCell ref="J31:K31"/>
    <mergeCell ref="H26:I26"/>
    <mergeCell ref="J26:K26"/>
    <mergeCell ref="H27:I27"/>
    <mergeCell ref="J27:K27"/>
    <mergeCell ref="H28:I28"/>
    <mergeCell ref="J28:K28"/>
    <mergeCell ref="H23:I23"/>
    <mergeCell ref="J23:K23"/>
    <mergeCell ref="H24:I24"/>
    <mergeCell ref="J24:K24"/>
    <mergeCell ref="H25:I25"/>
    <mergeCell ref="J25:K25"/>
    <mergeCell ref="H20:I20"/>
    <mergeCell ref="J20:K20"/>
    <mergeCell ref="H21:I21"/>
    <mergeCell ref="J21:K21"/>
    <mergeCell ref="H22:I22"/>
    <mergeCell ref="J22:K22"/>
    <mergeCell ref="H17:I17"/>
    <mergeCell ref="J17:K17"/>
    <mergeCell ref="H18:I18"/>
    <mergeCell ref="J18:K18"/>
    <mergeCell ref="H19:I19"/>
    <mergeCell ref="J19:K19"/>
    <mergeCell ref="H14:I14"/>
    <mergeCell ref="J14:K14"/>
    <mergeCell ref="H15:I15"/>
    <mergeCell ref="J15:K15"/>
    <mergeCell ref="H16:I16"/>
    <mergeCell ref="J16:K16"/>
    <mergeCell ref="H11:I11"/>
    <mergeCell ref="J11:K11"/>
    <mergeCell ref="H12:I12"/>
    <mergeCell ref="J12:K12"/>
    <mergeCell ref="H13:I13"/>
    <mergeCell ref="J13:K13"/>
    <mergeCell ref="H10:I10"/>
    <mergeCell ref="J10:K10"/>
    <mergeCell ref="A5:B5"/>
    <mergeCell ref="C5:E5"/>
    <mergeCell ref="F5:G5"/>
    <mergeCell ref="H5:I5"/>
    <mergeCell ref="A6:B6"/>
    <mergeCell ref="C6:I6"/>
    <mergeCell ref="B8:D8"/>
    <mergeCell ref="E8:G8"/>
    <mergeCell ref="H8:K8"/>
    <mergeCell ref="H9:I9"/>
    <mergeCell ref="J9:K9"/>
    <mergeCell ref="F2:K2"/>
    <mergeCell ref="A3:K3"/>
    <mergeCell ref="A4:B4"/>
    <mergeCell ref="C4:E4"/>
    <mergeCell ref="F4:G4"/>
    <mergeCell ref="H4:I4"/>
  </mergeCells>
  <phoneticPr fontId="59"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56" customWidth="1"/>
    <col min="2" max="2" width="4.375" style="156" customWidth="1"/>
    <col min="3" max="3" width="3.875" style="156" customWidth="1"/>
    <col min="4" max="4" width="5" style="156" customWidth="1"/>
    <col min="5" max="5" width="7.625" style="156" customWidth="1"/>
    <col min="6" max="6" width="7.5" style="156" customWidth="1"/>
    <col min="7" max="7" width="5.625" style="156" customWidth="1"/>
    <col min="8" max="8" width="8" style="156" customWidth="1"/>
    <col min="9" max="9" width="3.25" style="156" customWidth="1"/>
    <col min="10" max="10" width="4.875" style="156" customWidth="1"/>
    <col min="11" max="11" width="4.75" style="156" customWidth="1"/>
    <col min="12" max="12" width="6.75" style="156" customWidth="1"/>
    <col min="13" max="13" width="0.625" style="156" hidden="1" customWidth="1"/>
    <col min="14" max="14" width="3.75" style="156" customWidth="1"/>
    <col min="15" max="15" width="6.625" style="156" customWidth="1"/>
    <col min="16" max="16" width="4.5" style="156" customWidth="1"/>
    <col min="17" max="17" width="7" style="156" customWidth="1"/>
    <col min="18" max="18" width="5.125" style="156" customWidth="1"/>
    <col min="19" max="19" width="4.75" style="156" customWidth="1"/>
    <col min="20" max="20" width="5.625" style="156" customWidth="1"/>
    <col min="21" max="21" width="4.875" style="156" customWidth="1"/>
    <col min="22" max="22" width="5.25" style="157" customWidth="1"/>
    <col min="23" max="23" width="4.875" style="157" customWidth="1"/>
    <col min="24" max="24" width="9.25" style="157" customWidth="1"/>
    <col min="25" max="25" width="9.5" style="156" bestFit="1" customWidth="1"/>
    <col min="26" max="26" width="9.875" style="156" customWidth="1"/>
    <col min="27" max="28" width="10" style="156" customWidth="1"/>
    <col min="29" max="29" width="6.625" style="156" customWidth="1"/>
    <col min="30" max="30" width="6.5" style="156" customWidth="1"/>
    <col min="31" max="31" width="9" style="156"/>
    <col min="32" max="32" width="8.5" style="156" customWidth="1"/>
    <col min="33" max="33" width="6.375" style="156" customWidth="1"/>
    <col min="34" max="34" width="5.75" style="156" customWidth="1"/>
    <col min="35" max="35" width="12.625" style="156" customWidth="1"/>
    <col min="36" max="36" width="8.375" style="157" customWidth="1"/>
    <col min="37" max="37" width="24.875" style="156" customWidth="1"/>
    <col min="38" max="38" width="9" style="156"/>
    <col min="39" max="39" width="37.5" style="156" customWidth="1"/>
    <col min="40" max="16384" width="9" style="156"/>
  </cols>
  <sheetData>
    <row r="1" spans="1:31" ht="18.75">
      <c r="A1" s="835" t="s">
        <v>623</v>
      </c>
      <c r="B1" s="835"/>
      <c r="C1" s="835"/>
      <c r="D1" s="835"/>
      <c r="E1" s="835"/>
      <c r="F1" s="835"/>
      <c r="G1" s="835"/>
      <c r="H1" s="835"/>
      <c r="I1" s="835"/>
      <c r="J1" s="835"/>
      <c r="K1" s="835"/>
      <c r="L1" s="835"/>
      <c r="M1" s="835"/>
      <c r="N1" s="835"/>
      <c r="O1" s="835"/>
      <c r="P1" s="835"/>
      <c r="Q1" s="835"/>
      <c r="R1" s="835"/>
      <c r="S1" s="155"/>
    </row>
    <row r="2" spans="1:31" ht="20.100000000000001" customHeight="1">
      <c r="A2" s="158" t="s">
        <v>583</v>
      </c>
      <c r="B2" s="158"/>
      <c r="C2" s="158"/>
      <c r="D2" s="836" t="e">
        <f>'免漆门板单 (2)'!C4</f>
        <v>#REF!</v>
      </c>
      <c r="E2" s="836"/>
      <c r="F2" s="836"/>
      <c r="G2" s="836" t="str">
        <f>'免漆门板单 (2)'!F4</f>
        <v>版本型录号</v>
      </c>
      <c r="H2" s="836"/>
      <c r="I2" s="836" t="e">
        <f>#REF!</f>
        <v>#REF!</v>
      </c>
      <c r="J2" s="836"/>
      <c r="K2" s="836"/>
      <c r="L2" s="836"/>
      <c r="M2" s="159"/>
      <c r="N2" s="837" t="s">
        <v>584</v>
      </c>
      <c r="O2" s="837"/>
      <c r="P2" s="838" t="e">
        <f>'免漆门板单 (2)'!K6</f>
        <v>#REF!</v>
      </c>
      <c r="Q2" s="838"/>
      <c r="R2" s="838"/>
    </row>
    <row r="3" spans="1:31" ht="20.100000000000001" customHeight="1">
      <c r="A3" s="158" t="s">
        <v>585</v>
      </c>
      <c r="B3" s="158"/>
      <c r="C3" s="158"/>
      <c r="D3" s="836" t="e">
        <f>'免漆门板单 (2)'!C5</f>
        <v>#REF!</v>
      </c>
      <c r="E3" s="836"/>
      <c r="F3" s="836"/>
      <c r="G3" s="836" t="s">
        <v>6</v>
      </c>
      <c r="H3" s="836"/>
      <c r="I3" s="842">
        <f>'免漆门板单 (2)'!H5</f>
        <v>0</v>
      </c>
      <c r="J3" s="836"/>
      <c r="K3" s="836"/>
      <c r="L3" s="836"/>
      <c r="M3" s="159"/>
      <c r="N3" s="159" t="s">
        <v>7</v>
      </c>
      <c r="O3" s="160"/>
      <c r="P3" s="838" t="e">
        <f>'免漆门板单 (2)'!K5</f>
        <v>#REF!</v>
      </c>
      <c r="Q3" s="838"/>
      <c r="R3" s="838"/>
      <c r="S3" s="161"/>
      <c r="T3" s="162"/>
      <c r="U3" s="839"/>
      <c r="V3" s="839"/>
      <c r="W3" s="839"/>
      <c r="X3" s="839"/>
      <c r="Y3" s="839"/>
      <c r="Z3" s="839"/>
      <c r="AA3" s="839"/>
      <c r="AB3" s="839"/>
      <c r="AC3" s="839"/>
      <c r="AD3" s="517"/>
      <c r="AE3" s="163"/>
    </row>
    <row r="4" spans="1:31" ht="20.100000000000001" customHeight="1">
      <c r="A4" s="515" t="s">
        <v>23</v>
      </c>
      <c r="B4" s="515" t="s">
        <v>1</v>
      </c>
      <c r="C4" s="836" t="s">
        <v>19</v>
      </c>
      <c r="D4" s="836"/>
      <c r="E4" s="836" t="s">
        <v>24</v>
      </c>
      <c r="F4" s="836"/>
      <c r="G4" s="515" t="s">
        <v>5</v>
      </c>
      <c r="H4" s="515" t="s">
        <v>3</v>
      </c>
      <c r="I4" s="515" t="s">
        <v>23</v>
      </c>
      <c r="J4" s="515" t="s">
        <v>1</v>
      </c>
      <c r="K4" s="836" t="s">
        <v>19</v>
      </c>
      <c r="L4" s="836"/>
      <c r="M4" s="836"/>
      <c r="N4" s="838" t="s">
        <v>586</v>
      </c>
      <c r="O4" s="838"/>
      <c r="P4" s="838"/>
      <c r="Q4" s="515" t="s">
        <v>5</v>
      </c>
      <c r="R4" s="515" t="s">
        <v>3</v>
      </c>
      <c r="S4" s="161"/>
      <c r="T4" s="162"/>
      <c r="U4" s="840"/>
      <c r="V4" s="840"/>
      <c r="W4" s="841"/>
      <c r="X4" s="841"/>
      <c r="Y4" s="841"/>
      <c r="Z4" s="839"/>
      <c r="AA4" s="839"/>
      <c r="AB4" s="839"/>
      <c r="AC4" s="839"/>
      <c r="AD4" s="517"/>
      <c r="AE4" s="164"/>
    </row>
    <row r="5" spans="1:31" ht="20.100000000000001" customHeight="1">
      <c r="A5" s="844" t="s">
        <v>587</v>
      </c>
      <c r="B5" s="836">
        <v>1</v>
      </c>
      <c r="C5" s="836" t="s">
        <v>588</v>
      </c>
      <c r="D5" s="836"/>
      <c r="E5" s="844" t="str">
        <f>VLOOKUP('免漆门板单 (2)'!C6,'免漆门板单 (2)'!V9:Y25,3,FALSE)</f>
        <v>暖白双贴三聚氰胺E0级刨花板（竖纹）</v>
      </c>
      <c r="F5" s="844"/>
      <c r="G5" s="845" t="b">
        <f>IF('免漆门板单 (2)'!L3=1,'免漆门板单 (2)'!Q42,IF('免漆门板单 (2)'!L3=2,'免漆门板单 (2)'!Q43,IF('免漆门板单 (2)'!L3=3,'免漆门板单 (2)'!Q44)))</f>
        <v>0</v>
      </c>
      <c r="H5" s="836" t="s">
        <v>25</v>
      </c>
      <c r="I5" s="847" t="s">
        <v>589</v>
      </c>
      <c r="J5" s="836">
        <v>1</v>
      </c>
      <c r="K5" s="844" t="s">
        <v>2</v>
      </c>
      <c r="L5" s="844"/>
      <c r="M5" s="836"/>
      <c r="N5" s="850" t="str">
        <f>VLOOKUP('免漆门板单 (2)'!C6,'免漆门板单 (2)'!V9:Y25,4,FALSE)</f>
        <v>2.0*22暖白PVC</v>
      </c>
      <c r="O5" s="850"/>
      <c r="P5" s="850"/>
      <c r="Q5" s="843">
        <f>IF(N5="T型铝封边",'免漆门板单 (2)'!M38,'免漆门板单 (2)'!L38)</f>
        <v>0</v>
      </c>
      <c r="R5" s="836" t="s">
        <v>21</v>
      </c>
    </row>
    <row r="6" spans="1:31" ht="20.100000000000001" customHeight="1">
      <c r="A6" s="844"/>
      <c r="B6" s="836"/>
      <c r="C6" s="836"/>
      <c r="D6" s="836"/>
      <c r="E6" s="844"/>
      <c r="F6" s="844"/>
      <c r="G6" s="845"/>
      <c r="H6" s="836"/>
      <c r="I6" s="848"/>
      <c r="J6" s="836"/>
      <c r="K6" s="844"/>
      <c r="L6" s="844"/>
      <c r="M6" s="836"/>
      <c r="N6" s="850"/>
      <c r="O6" s="850"/>
      <c r="P6" s="850"/>
      <c r="Q6" s="843"/>
      <c r="R6" s="836"/>
    </row>
    <row r="7" spans="1:31" ht="20.100000000000001" customHeight="1">
      <c r="A7" s="844"/>
      <c r="B7" s="836"/>
      <c r="C7" s="836"/>
      <c r="D7" s="836"/>
      <c r="E7" s="844"/>
      <c r="F7" s="844"/>
      <c r="G7" s="845"/>
      <c r="H7" s="836"/>
      <c r="I7" s="848"/>
      <c r="J7" s="836"/>
      <c r="K7" s="844"/>
      <c r="L7" s="844"/>
      <c r="M7" s="836"/>
      <c r="N7" s="850"/>
      <c r="O7" s="850"/>
      <c r="P7" s="850"/>
      <c r="Q7" s="843"/>
      <c r="R7" s="836"/>
    </row>
    <row r="8" spans="1:31" ht="24.75" customHeight="1">
      <c r="A8" s="844"/>
      <c r="B8" s="836"/>
      <c r="C8" s="836"/>
      <c r="D8" s="836"/>
      <c r="E8" s="844"/>
      <c r="F8" s="844"/>
      <c r="G8" s="845"/>
      <c r="H8" s="836"/>
      <c r="I8" s="848"/>
      <c r="J8" s="515">
        <v>2</v>
      </c>
      <c r="K8" s="836" t="str">
        <f>IF(N5="T型铝封边","普施宝免钉胶","热熔胶")</f>
        <v>热熔胶</v>
      </c>
      <c r="L8" s="836"/>
      <c r="M8" s="836"/>
      <c r="N8" s="836" t="str">
        <f>IF(N5="T型铝封边","","丽凯8803A")</f>
        <v>丽凯8803A</v>
      </c>
      <c r="O8" s="836"/>
      <c r="P8" s="836"/>
      <c r="Q8" s="516">
        <f>IF(N5="T型铝封边",Q5/12,Q5*4.1)</f>
        <v>0</v>
      </c>
      <c r="R8" s="515" t="str">
        <f>IF(N5="T型铝封边","支","克")</f>
        <v>克</v>
      </c>
    </row>
    <row r="9" spans="1:31" ht="40.5" customHeight="1">
      <c r="A9" s="844"/>
      <c r="B9" s="515"/>
      <c r="C9" s="836"/>
      <c r="D9" s="836"/>
      <c r="E9" s="836"/>
      <c r="F9" s="836"/>
      <c r="G9" s="515"/>
      <c r="H9" s="515"/>
      <c r="I9" s="848"/>
      <c r="J9" s="515"/>
      <c r="K9" s="836"/>
      <c r="L9" s="836"/>
      <c r="M9" s="836"/>
      <c r="N9" s="836"/>
      <c r="O9" s="836"/>
      <c r="P9" s="836"/>
      <c r="Q9" s="165"/>
      <c r="R9" s="515"/>
    </row>
    <row r="10" spans="1:31" ht="20.100000000000001" customHeight="1">
      <c r="A10" s="844"/>
      <c r="B10" s="515"/>
      <c r="C10" s="836"/>
      <c r="D10" s="836"/>
      <c r="E10" s="836"/>
      <c r="F10" s="836"/>
      <c r="G10" s="515"/>
      <c r="H10" s="515"/>
      <c r="I10" s="848"/>
      <c r="J10" s="515"/>
      <c r="K10" s="844"/>
      <c r="L10" s="844"/>
      <c r="M10" s="844"/>
      <c r="N10" s="846"/>
      <c r="O10" s="846"/>
      <c r="P10" s="846"/>
      <c r="Q10" s="515"/>
      <c r="R10" s="515"/>
    </row>
    <row r="11" spans="1:31" ht="20.100000000000001" customHeight="1">
      <c r="A11" s="844"/>
      <c r="B11" s="515"/>
      <c r="C11" s="836"/>
      <c r="D11" s="836"/>
      <c r="E11" s="836"/>
      <c r="F11" s="836"/>
      <c r="G11" s="515"/>
      <c r="H11" s="515"/>
      <c r="I11" s="848"/>
      <c r="J11" s="515"/>
      <c r="K11" s="844"/>
      <c r="L11" s="844"/>
      <c r="M11" s="844"/>
      <c r="N11" s="846"/>
      <c r="O11" s="846"/>
      <c r="P11" s="846"/>
      <c r="Q11" s="515"/>
      <c r="R11" s="515"/>
    </row>
    <row r="12" spans="1:31" ht="20.100000000000001" customHeight="1">
      <c r="A12" s="844"/>
      <c r="B12" s="515"/>
      <c r="C12" s="836"/>
      <c r="D12" s="836"/>
      <c r="E12" s="836"/>
      <c r="F12" s="836"/>
      <c r="G12" s="515"/>
      <c r="H12" s="515"/>
      <c r="I12" s="848"/>
      <c r="J12" s="515">
        <v>6</v>
      </c>
      <c r="K12" s="844" t="s">
        <v>590</v>
      </c>
      <c r="L12" s="844"/>
      <c r="M12" s="844"/>
      <c r="N12" s="846" t="s">
        <v>591</v>
      </c>
      <c r="O12" s="846"/>
      <c r="P12" s="846"/>
      <c r="Q12" s="515"/>
      <c r="R12" s="515" t="s">
        <v>21</v>
      </c>
    </row>
    <row r="13" spans="1:31" ht="20.100000000000001" customHeight="1">
      <c r="A13" s="844"/>
      <c r="B13" s="515"/>
      <c r="C13" s="836"/>
      <c r="D13" s="836"/>
      <c r="E13" s="836"/>
      <c r="F13" s="836"/>
      <c r="G13" s="515"/>
      <c r="H13" s="515"/>
      <c r="I13" s="848"/>
      <c r="J13" s="515">
        <v>7</v>
      </c>
      <c r="K13" s="851" t="s">
        <v>592</v>
      </c>
      <c r="L13" s="852"/>
      <c r="M13" s="852"/>
      <c r="N13" s="852"/>
      <c r="O13" s="852"/>
      <c r="P13" s="853"/>
      <c r="Q13" s="515"/>
      <c r="R13" s="515" t="s">
        <v>322</v>
      </c>
    </row>
    <row r="14" spans="1:31" ht="20.100000000000001" customHeight="1">
      <c r="A14" s="844"/>
      <c r="B14" s="515"/>
      <c r="C14" s="836"/>
      <c r="D14" s="836"/>
      <c r="E14" s="836"/>
      <c r="F14" s="836"/>
      <c r="G14" s="515"/>
      <c r="H14" s="515"/>
      <c r="I14" s="849"/>
      <c r="J14" s="515"/>
      <c r="K14" s="844"/>
      <c r="L14" s="844"/>
      <c r="M14" s="844"/>
      <c r="N14" s="836"/>
      <c r="O14" s="836"/>
      <c r="P14" s="836"/>
      <c r="Q14" s="515"/>
      <c r="R14" s="515"/>
    </row>
    <row r="15" spans="1:31" ht="20.100000000000001" customHeight="1">
      <c r="A15" s="844"/>
      <c r="B15" s="515"/>
      <c r="C15" s="836"/>
      <c r="D15" s="836"/>
      <c r="E15" s="836"/>
      <c r="F15" s="836"/>
      <c r="G15" s="515"/>
      <c r="H15" s="515"/>
      <c r="I15" s="844"/>
      <c r="J15" s="515"/>
      <c r="K15" s="836"/>
      <c r="L15" s="836"/>
      <c r="M15" s="836"/>
      <c r="N15" s="836"/>
      <c r="O15" s="836"/>
      <c r="P15" s="836"/>
      <c r="Q15" s="165"/>
      <c r="R15" s="515"/>
    </row>
    <row r="16" spans="1:31" ht="20.100000000000001" customHeight="1">
      <c r="A16" s="844"/>
      <c r="B16" s="515"/>
      <c r="C16" s="836"/>
      <c r="D16" s="836"/>
      <c r="E16" s="836"/>
      <c r="F16" s="836"/>
      <c r="G16" s="515"/>
      <c r="H16" s="515"/>
      <c r="I16" s="844"/>
      <c r="J16" s="515"/>
      <c r="K16" s="836"/>
      <c r="L16" s="836"/>
      <c r="M16" s="836"/>
      <c r="N16" s="836"/>
      <c r="O16" s="836"/>
      <c r="P16" s="836"/>
      <c r="Q16" s="165"/>
      <c r="R16" s="515"/>
    </row>
    <row r="17" spans="1:18" ht="15" customHeight="1">
      <c r="A17" s="166"/>
      <c r="B17" s="166"/>
      <c r="C17" s="166"/>
      <c r="D17" s="166"/>
      <c r="E17" s="166"/>
      <c r="F17" s="166"/>
      <c r="G17" s="166"/>
      <c r="H17" s="166"/>
      <c r="I17" s="166"/>
      <c r="J17" s="166"/>
      <c r="K17" s="166"/>
      <c r="L17" s="166"/>
      <c r="M17" s="167"/>
      <c r="N17" s="167"/>
      <c r="O17" s="167"/>
      <c r="P17" s="167"/>
      <c r="Q17" s="167"/>
      <c r="R17" s="167"/>
    </row>
    <row r="18" spans="1:18" ht="15" customHeight="1">
      <c r="A18" s="168"/>
      <c r="B18" s="168"/>
      <c r="C18" s="166"/>
      <c r="D18" s="854" t="s">
        <v>12</v>
      </c>
      <c r="E18" s="854"/>
      <c r="F18" s="857"/>
      <c r="G18" s="857"/>
      <c r="H18" s="857"/>
      <c r="I18" s="169"/>
      <c r="J18" s="514"/>
      <c r="K18" s="169"/>
      <c r="L18" s="854" t="s">
        <v>13</v>
      </c>
      <c r="M18" s="854"/>
      <c r="N18" s="857"/>
      <c r="O18" s="857"/>
      <c r="P18" s="167"/>
      <c r="Q18" s="167"/>
      <c r="R18" s="167"/>
    </row>
    <row r="19" spans="1:18" ht="15" customHeight="1">
      <c r="A19" s="168"/>
      <c r="B19" s="168"/>
      <c r="C19" s="166"/>
      <c r="D19" s="513"/>
      <c r="E19" s="513"/>
      <c r="F19" s="513"/>
      <c r="G19" s="513"/>
      <c r="H19" s="170"/>
      <c r="I19" s="169"/>
      <c r="J19" s="514"/>
      <c r="K19" s="169"/>
      <c r="L19" s="513"/>
      <c r="M19" s="513"/>
      <c r="N19" s="171"/>
      <c r="O19" s="171"/>
      <c r="P19" s="167"/>
      <c r="Q19" s="167"/>
      <c r="R19" s="167"/>
    </row>
    <row r="20" spans="1:18" ht="15" customHeight="1">
      <c r="A20" s="168"/>
      <c r="B20" s="168"/>
      <c r="C20" s="166"/>
      <c r="D20" s="854" t="s">
        <v>14</v>
      </c>
      <c r="E20" s="854"/>
      <c r="F20" s="855"/>
      <c r="G20" s="855"/>
      <c r="H20" s="855"/>
      <c r="I20" s="169"/>
      <c r="J20" s="514"/>
      <c r="K20" s="856" t="s">
        <v>15</v>
      </c>
      <c r="L20" s="856"/>
      <c r="M20" s="856"/>
      <c r="N20" s="857"/>
      <c r="O20" s="857"/>
      <c r="P20" s="167"/>
      <c r="Q20" s="167"/>
      <c r="R20" s="167"/>
    </row>
    <row r="21" spans="1:18">
      <c r="A21" s="172"/>
      <c r="B21" s="172"/>
      <c r="C21" s="172"/>
      <c r="D21" s="172"/>
      <c r="E21" s="172"/>
      <c r="F21" s="172"/>
      <c r="G21" s="172"/>
      <c r="H21" s="172"/>
      <c r="I21" s="172"/>
      <c r="J21" s="172"/>
      <c r="K21" s="172"/>
      <c r="L21" s="172"/>
      <c r="M21" s="172"/>
      <c r="N21" s="172"/>
      <c r="O21" s="172"/>
      <c r="P21" s="172"/>
      <c r="Q21" s="172"/>
      <c r="R21" s="172"/>
    </row>
  </sheetData>
  <mergeCells count="79">
    <mergeCell ref="D20:E20"/>
    <mergeCell ref="F20:H20"/>
    <mergeCell ref="K20:M20"/>
    <mergeCell ref="N20:O20"/>
    <mergeCell ref="C16:D16"/>
    <mergeCell ref="E16:F16"/>
    <mergeCell ref="K16:M16"/>
    <mergeCell ref="N16:P16"/>
    <mergeCell ref="D18:E18"/>
    <mergeCell ref="F18:H18"/>
    <mergeCell ref="L18:M18"/>
    <mergeCell ref="N18:O18"/>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E12:F12"/>
    <mergeCell ref="K12:M12"/>
    <mergeCell ref="N12:P12"/>
    <mergeCell ref="C13:D13"/>
    <mergeCell ref="E13:F13"/>
    <mergeCell ref="K13:P13"/>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Q5:Q7"/>
    <mergeCell ref="A5:A9"/>
    <mergeCell ref="B5:B8"/>
    <mergeCell ref="C5:D8"/>
    <mergeCell ref="E5:F8"/>
    <mergeCell ref="G5:G8"/>
    <mergeCell ref="H5:H8"/>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A1:R1"/>
    <mergeCell ref="D2:F2"/>
    <mergeCell ref="G2:H2"/>
    <mergeCell ref="I2:L2"/>
    <mergeCell ref="N2:O2"/>
    <mergeCell ref="P2:R2"/>
  </mergeCells>
  <phoneticPr fontId="59"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16</vt:i4>
      </vt:variant>
    </vt:vector>
  </HeadingPairs>
  <TitlesOfParts>
    <vt:vector size="35" baseType="lpstr">
      <vt:lpstr>@kbtasto@she3#</vt:lpstr>
      <vt:lpstr>交接表</vt:lpstr>
      <vt:lpstr>Sheet1</vt:lpstr>
      <vt:lpstr>吸塑门板单</vt:lpstr>
      <vt:lpstr>吸塑料单</vt:lpstr>
      <vt:lpstr>吸塑交接表</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Sheet1!Print_Area</vt:lpstr>
      <vt:lpstr>本地包装!Print_Area</vt:lpstr>
      <vt:lpstr>'料单 (4)'!Print_Area</vt:lpstr>
      <vt:lpstr>'料单 (5)'!Print_Area</vt:lpstr>
      <vt:lpstr>罗丹!Print_Area</vt:lpstr>
      <vt:lpstr>'免漆 (2)'!Print_Area</vt:lpstr>
      <vt:lpstr>'免漆料单 (2)'!Print_Area</vt:lpstr>
      <vt:lpstr>'免漆门板单 (2)'!Print_Area</vt:lpstr>
      <vt:lpstr>实木!Print_Area</vt:lpstr>
      <vt:lpstr>外阜包装!Print_Area</vt:lpstr>
      <vt:lpstr>吸塑料单!Print_Area</vt:lpstr>
      <vt:lpstr>吸塑门板单!Print_Area</vt:lpstr>
      <vt:lpstr>香颂!Print_Area</vt:lpstr>
      <vt:lpstr>'作(4)'!Print_Area</vt:lpstr>
      <vt:lpstr>'作(5)'!Print_Area</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李颖辉</cp:lastModifiedBy>
  <cp:lastPrinted>2017-07-12T05:26:29Z</cp:lastPrinted>
  <dcterms:created xsi:type="dcterms:W3CDTF">2003-06-27T08:15:48Z</dcterms:created>
  <dcterms:modified xsi:type="dcterms:W3CDTF">2017-09-13T05:06:06Z</dcterms:modified>
</cp:coreProperties>
</file>