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5"/>
  <workbookPr defaultThemeVersion="124226"/>
  <mc:AlternateContent xmlns:mc="http://schemas.openxmlformats.org/markup-compatibility/2006">
    <mc:Choice Requires="x15">
      <x15ac:absPath xmlns:x15ac="http://schemas.microsoft.com/office/spreadsheetml/2010/11/ac" url="/Users/thomasmunson/Documents/3L/Spring/ARC/"/>
    </mc:Choice>
  </mc:AlternateContent>
  <xr:revisionPtr revIDLastSave="0" documentId="8_{6BF5309C-11D9-4A28-9E4B-E9BA564727BB}" xr6:coauthVersionLast="47" xr6:coauthVersionMax="47" xr10:uidLastSave="{00000000-0000-0000-0000-000000000000}"/>
  <bookViews>
    <workbookView xWindow="1780" yWindow="500" windowWidth="28260" windowHeight="17300" xr2:uid="{00000000-000D-0000-FFFF-FFFF00000000}"/>
  </bookViews>
  <sheets>
    <sheet name="act135cases" sheetId="1" r:id="rId1"/>
  </sheets>
  <definedNames>
    <definedName name="_xlnm.Print_Titles" localSheetId="0">act135cases!$1:$1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9" i="1" l="1"/>
  <c r="B32" i="1"/>
  <c r="B225" i="1"/>
  <c r="B270" i="1"/>
  <c r="B125" i="1"/>
  <c r="B487" i="1"/>
  <c r="B108" i="1"/>
  <c r="B437" i="1"/>
  <c r="B463" i="1"/>
  <c r="B578" i="1"/>
  <c r="B115" i="1"/>
  <c r="B546" i="1"/>
  <c r="B133" i="1"/>
  <c r="B305" i="1"/>
  <c r="B551" i="1"/>
  <c r="B484" i="1"/>
  <c r="B533" i="1"/>
  <c r="B497" i="1"/>
  <c r="B458" i="1"/>
  <c r="B424" i="1"/>
  <c r="B414" i="1"/>
  <c r="B510" i="1"/>
  <c r="B570" i="1"/>
  <c r="B181" i="1"/>
  <c r="B560" i="1"/>
  <c r="B502" i="1"/>
  <c r="B572" i="1"/>
  <c r="B469" i="1"/>
  <c r="B428" i="1"/>
  <c r="B398" i="1"/>
  <c r="B48" i="1"/>
  <c r="B311" i="1"/>
  <c r="B407" i="1"/>
  <c r="B360" i="1"/>
  <c r="B96" i="1"/>
  <c r="B567" i="1"/>
  <c r="B16" i="1"/>
  <c r="B9" i="1"/>
  <c r="B475" i="1"/>
  <c r="B422" i="1"/>
  <c r="B18" i="1"/>
  <c r="B179" i="1"/>
  <c r="B328" i="1"/>
  <c r="B559" i="1"/>
  <c r="B341" i="1"/>
  <c r="B135" i="1"/>
  <c r="B472" i="1"/>
  <c r="B544" i="1"/>
  <c r="B352" i="1"/>
  <c r="B195" i="1"/>
  <c r="B160" i="1"/>
  <c r="B128" i="1"/>
  <c r="B461" i="1"/>
  <c r="B454" i="1"/>
  <c r="B520" i="1"/>
  <c r="B550" i="1"/>
  <c r="B482" i="1"/>
  <c r="B339" i="1"/>
  <c r="B329" i="1"/>
  <c r="B320" i="1"/>
  <c r="B312" i="1"/>
  <c r="B152" i="1"/>
  <c r="B431" i="1"/>
  <c r="B140" i="1"/>
  <c r="B182" i="1"/>
  <c r="B292" i="1"/>
  <c r="B521" i="1"/>
  <c r="B209" i="1"/>
  <c r="B532" i="1"/>
  <c r="B34" i="1"/>
  <c r="B110" i="1"/>
  <c r="B361" i="1"/>
  <c r="B79" i="1"/>
  <c r="B447" i="1"/>
  <c r="B503" i="1"/>
  <c r="B58" i="1"/>
  <c r="B224" i="1"/>
  <c r="B174" i="1"/>
  <c r="B29" i="1"/>
  <c r="B255" i="1"/>
  <c r="B252" i="1"/>
  <c r="B308" i="1"/>
  <c r="B552" i="1"/>
  <c r="B331" i="1"/>
  <c r="B301" i="1"/>
  <c r="B31" i="1"/>
  <c r="B130" i="1"/>
  <c r="B162" i="1"/>
  <c r="B473" i="1"/>
  <c r="B429" i="1"/>
  <c r="B66" i="1"/>
  <c r="B33" i="1"/>
  <c r="B486" i="1"/>
  <c r="B302" i="1"/>
  <c r="B372" i="1"/>
  <c r="B392" i="1"/>
  <c r="B183" i="1"/>
  <c r="B496" i="1"/>
  <c r="B95" i="1"/>
  <c r="B295" i="1"/>
  <c r="B8" i="1"/>
  <c r="B164" i="1"/>
  <c r="B350" i="1"/>
  <c r="B268" i="1"/>
  <c r="B514" i="1"/>
  <c r="B526" i="1"/>
  <c r="B370" i="1"/>
  <c r="B577" i="1"/>
  <c r="B381" i="1"/>
  <c r="B283" i="1"/>
  <c r="B154" i="1"/>
  <c r="B382" i="1"/>
  <c r="B460" i="1"/>
  <c r="B519" i="1"/>
  <c r="B212" i="1"/>
  <c r="B418" i="1"/>
  <c r="B235" i="1"/>
  <c r="B378" i="1"/>
  <c r="B540" i="1"/>
  <c r="B220" i="1"/>
  <c r="B415" i="1"/>
  <c r="B523" i="1"/>
  <c r="B226" i="1"/>
  <c r="B137" i="1"/>
  <c r="B539" i="1"/>
  <c r="B494" i="1"/>
  <c r="B107" i="1"/>
  <c r="B362" i="1"/>
  <c r="B464" i="1"/>
  <c r="B343" i="1"/>
  <c r="B109" i="1"/>
  <c r="B68" i="1"/>
  <c r="B13" i="1"/>
  <c r="B468" i="1"/>
  <c r="B315" i="1"/>
  <c r="B233" i="1"/>
  <c r="B490" i="1"/>
  <c r="B456" i="1"/>
  <c r="B99" i="1"/>
  <c r="B449" i="1"/>
  <c r="B330" i="1"/>
  <c r="B78" i="1"/>
  <c r="B197" i="1"/>
  <c r="B537" i="1"/>
  <c r="B90" i="1"/>
  <c r="B86" i="1"/>
  <c r="B321" i="1"/>
  <c r="B531" i="1"/>
  <c r="B313" i="1"/>
  <c r="B134" i="1"/>
  <c r="B61" i="1"/>
  <c r="B307" i="1"/>
  <c r="B535" i="1"/>
  <c r="B41" i="1"/>
  <c r="B316" i="1"/>
  <c r="B267" i="1"/>
  <c r="B427" i="1"/>
  <c r="B568" i="1"/>
  <c r="B501" i="1"/>
  <c r="B272" i="1"/>
  <c r="B506" i="1"/>
  <c r="B101" i="1"/>
  <c r="B434" i="1"/>
  <c r="B515" i="1"/>
  <c r="B112" i="1"/>
  <c r="B364" i="1"/>
  <c r="B386" i="1"/>
  <c r="B399" i="1"/>
  <c r="B274" i="1"/>
  <c r="B402" i="1"/>
  <c r="B470" i="1"/>
  <c r="B562" i="1"/>
  <c r="B83" i="1"/>
  <c r="B245" i="1"/>
  <c r="B230" i="1"/>
  <c r="B265" i="1"/>
  <c r="B479" i="1"/>
  <c r="B88" i="1"/>
  <c r="B159" i="1"/>
  <c r="B383" i="1"/>
  <c r="B263" i="1"/>
  <c r="B405" i="1"/>
  <c r="B45" i="1"/>
  <c r="B119" i="1"/>
  <c r="B124" i="1"/>
  <c r="B67" i="1"/>
  <c r="B377" i="1"/>
  <c r="B480" i="1"/>
  <c r="B144" i="1"/>
  <c r="B262" i="1"/>
  <c r="B63" i="1"/>
  <c r="B129" i="1"/>
  <c r="B318" i="1"/>
  <c r="B291" i="1"/>
  <c r="B189" i="1"/>
  <c r="B40" i="1"/>
  <c r="B566" i="1"/>
  <c r="B306" i="1"/>
  <c r="B201" i="1"/>
  <c r="B70" i="1"/>
  <c r="B138" i="1"/>
  <c r="B203" i="1"/>
  <c r="B156" i="1"/>
  <c r="B498" i="1"/>
  <c r="B293" i="1"/>
  <c r="B538" i="1"/>
  <c r="B393" i="1"/>
  <c r="B77" i="1"/>
  <c r="B210" i="1"/>
  <c r="B346" i="1"/>
  <c r="B524" i="1"/>
  <c r="B574" i="1"/>
  <c r="B205" i="1"/>
  <c r="B389" i="1"/>
  <c r="B436" i="1"/>
  <c r="B359" i="1"/>
  <c r="B237" i="1"/>
  <c r="B561" i="1"/>
  <c r="B426" i="1"/>
  <c r="B234" i="1"/>
  <c r="B206" i="1"/>
  <c r="B170" i="1"/>
  <c r="B161" i="1"/>
  <c r="B82" i="1"/>
  <c r="B175" i="1"/>
  <c r="B573" i="1"/>
  <c r="B241" i="1"/>
  <c r="B105" i="1"/>
  <c r="B7" i="1"/>
  <c r="B232" i="1"/>
  <c r="B92" i="1"/>
  <c r="B217" i="1"/>
  <c r="B273" i="1"/>
  <c r="B100" i="1"/>
  <c r="B87" i="1"/>
  <c r="B371" i="1"/>
  <c r="B565" i="1"/>
  <c r="B325" i="1"/>
  <c r="B522" i="1"/>
  <c r="B27" i="1"/>
  <c r="B553" i="1"/>
  <c r="B303" i="1"/>
  <c r="B489" i="1"/>
  <c r="B438" i="1"/>
  <c r="B284" i="1"/>
  <c r="B477" i="1"/>
  <c r="B123" i="1"/>
  <c r="B558" i="1"/>
  <c r="B35" i="1"/>
  <c r="B249" i="1"/>
  <c r="B356" i="1"/>
  <c r="B279" i="1"/>
  <c r="B148" i="1"/>
  <c r="B151" i="1"/>
  <c r="B485" i="1"/>
  <c r="B84" i="1"/>
  <c r="B390" i="1"/>
  <c r="B120" i="1"/>
  <c r="B39" i="1"/>
  <c r="B75" i="1"/>
  <c r="B527" i="1"/>
  <c r="B11" i="1"/>
  <c r="B36" i="1"/>
  <c r="B65" i="1"/>
  <c r="B172" i="1"/>
  <c r="B208" i="1"/>
  <c r="B363" i="1"/>
  <c r="B219" i="1"/>
  <c r="B406" i="1"/>
  <c r="B575" i="1"/>
  <c r="B446" i="1"/>
  <c r="B310" i="1"/>
  <c r="B505" i="1"/>
  <c r="B385" i="1"/>
  <c r="B248" i="1"/>
  <c r="B190" i="1"/>
  <c r="B121" i="1"/>
  <c r="B91" i="1"/>
  <c r="B448" i="1"/>
  <c r="B142" i="1"/>
  <c r="B349" i="1"/>
  <c r="B30" i="1"/>
  <c r="B211" i="1"/>
  <c r="B411" i="1"/>
  <c r="B173" i="1"/>
  <c r="B379" i="1"/>
  <c r="B388" i="1"/>
  <c r="B49" i="1"/>
  <c r="B564" i="1"/>
  <c r="B504" i="1"/>
  <c r="B178" i="1"/>
  <c r="B358" i="1"/>
  <c r="B131" i="1"/>
  <c r="B282" i="1"/>
  <c r="B64" i="1"/>
  <c r="B238" i="1"/>
  <c r="B409" i="1"/>
  <c r="B397" i="1"/>
  <c r="B253" i="1"/>
  <c r="B465" i="1"/>
  <c r="B401" i="1"/>
  <c r="B59" i="1"/>
  <c r="B228" i="1"/>
  <c r="B207" i="1"/>
  <c r="B176" i="1"/>
  <c r="B139" i="1"/>
  <c r="B443" i="1"/>
  <c r="B191" i="1"/>
  <c r="B466" i="1"/>
  <c r="B403" i="1"/>
  <c r="B439" i="1"/>
  <c r="B493" i="1"/>
  <c r="B374" i="1"/>
  <c r="B555" i="1"/>
  <c r="B132" i="1"/>
  <c r="B288" i="1"/>
  <c r="B289" i="1"/>
  <c r="B17" i="1"/>
  <c r="B309" i="1"/>
  <c r="B314" i="1"/>
  <c r="B375" i="1"/>
  <c r="B260" i="1"/>
  <c r="B297" i="1"/>
  <c r="B417" i="1"/>
  <c r="B26" i="1"/>
  <c r="B467" i="1"/>
  <c r="B62" i="1"/>
  <c r="B231" i="1"/>
  <c r="B366" i="1"/>
  <c r="B338" i="1"/>
  <c r="B300" i="1"/>
  <c r="B340" i="1"/>
  <c r="B103" i="1"/>
  <c r="B324" i="1"/>
  <c r="B213" i="1"/>
  <c r="B430" i="1"/>
  <c r="B495" i="1"/>
  <c r="B250" i="1"/>
  <c r="B127" i="1"/>
  <c r="B202" i="1"/>
  <c r="B516" i="1"/>
  <c r="B287" i="1"/>
  <c r="B413" i="1"/>
  <c r="B554" i="1"/>
  <c r="B435" i="1"/>
  <c r="B441" i="1"/>
  <c r="B322" i="1"/>
  <c r="B276" i="1"/>
  <c r="B335" i="1"/>
  <c r="B576" i="1"/>
  <c r="B333" i="1"/>
  <c r="B46" i="1"/>
  <c r="B236" i="1"/>
  <c r="B153" i="1"/>
  <c r="B530" i="1"/>
  <c r="B72" i="1"/>
  <c r="B286" i="1"/>
  <c r="B106" i="1"/>
  <c r="B204" i="1"/>
  <c r="B227" i="1"/>
  <c r="B457" i="1"/>
  <c r="B25" i="1"/>
  <c r="B116" i="1"/>
  <c r="B256" i="1"/>
  <c r="B136" i="1"/>
  <c r="B28" i="1"/>
  <c r="B117" i="1"/>
  <c r="B280" i="1"/>
  <c r="B215" i="1"/>
  <c r="B336" i="1"/>
  <c r="B408" i="1"/>
  <c r="B542" i="1"/>
  <c r="B169" i="1"/>
  <c r="B298" i="1"/>
  <c r="B450" i="1"/>
  <c r="B290" i="1"/>
  <c r="B517" i="1"/>
  <c r="B146" i="1"/>
  <c r="B380" i="1"/>
  <c r="B351" i="1"/>
  <c r="B387" i="1"/>
  <c r="B5" i="1"/>
  <c r="B193" i="1"/>
  <c r="B12" i="1"/>
  <c r="B23" i="1"/>
  <c r="B420" i="1"/>
  <c r="B277" i="1"/>
  <c r="B569" i="1"/>
  <c r="B563" i="1"/>
  <c r="B145" i="1"/>
  <c r="B344" i="1"/>
  <c r="B500" i="1"/>
  <c r="B478" i="1"/>
  <c r="B94" i="1"/>
  <c r="B24" i="1"/>
  <c r="B347" i="1"/>
  <c r="B239" i="1"/>
  <c r="B184" i="1"/>
  <c r="B52" i="1"/>
  <c r="B348" i="1"/>
  <c r="B143" i="1"/>
  <c r="B54" i="1"/>
  <c r="B251" i="1"/>
  <c r="B185" i="1"/>
  <c r="B471" i="1"/>
  <c r="B365" i="1"/>
  <c r="B214" i="1"/>
  <c r="B167" i="1"/>
  <c r="B512" i="1"/>
  <c r="B373" i="1"/>
  <c r="B69" i="1"/>
  <c r="B345" i="1"/>
  <c r="B368" i="1"/>
  <c r="B258" i="1"/>
  <c r="B192" i="1"/>
  <c r="B395" i="1"/>
  <c r="B74" i="1"/>
  <c r="B51" i="1"/>
  <c r="B196" i="1"/>
  <c r="B14" i="1"/>
  <c r="B229" i="1"/>
  <c r="B223" i="1"/>
  <c r="B433" i="1"/>
  <c r="B547" i="1"/>
  <c r="B326" i="1"/>
  <c r="B332" i="1"/>
  <c r="B158" i="1"/>
  <c r="B355" i="1"/>
  <c r="B21" i="1"/>
  <c r="B534" i="1"/>
  <c r="B481" i="1"/>
  <c r="B53" i="1"/>
  <c r="B257" i="1"/>
  <c r="B299" i="1"/>
  <c r="B111" i="1"/>
  <c r="B102" i="1"/>
  <c r="B10" i="1"/>
  <c r="B254" i="1"/>
  <c r="B216" i="1"/>
  <c r="B3" i="1"/>
  <c r="B488" i="1"/>
  <c r="B2" i="1"/>
  <c r="B42" i="1"/>
  <c r="B525" i="1"/>
  <c r="B171" i="1"/>
  <c r="B491" i="1"/>
  <c r="B548" i="1"/>
  <c r="B455" i="1"/>
  <c r="B518" i="1"/>
  <c r="B492" i="1"/>
  <c r="B353" i="1"/>
  <c r="B22" i="1"/>
  <c r="B122" i="1"/>
  <c r="B509" i="1"/>
  <c r="B240" i="1"/>
  <c r="B391" i="1"/>
  <c r="B354" i="1"/>
  <c r="B384" i="1"/>
  <c r="B549" i="1"/>
  <c r="B556" i="1"/>
  <c r="B261" i="1"/>
  <c r="B419" i="1"/>
  <c r="B157" i="1"/>
  <c r="B104" i="1"/>
  <c r="B483" i="1"/>
  <c r="B357" i="1"/>
  <c r="B55" i="1"/>
  <c r="B442" i="1"/>
  <c r="B452" i="1"/>
  <c r="B423" i="1"/>
  <c r="B304" i="1"/>
  <c r="B412" i="1"/>
  <c r="B180" i="1"/>
  <c r="B342" i="1"/>
  <c r="B275" i="1"/>
  <c r="B222" i="1"/>
  <c r="B198" i="1"/>
  <c r="B247" i="1"/>
  <c r="B541" i="1"/>
  <c r="B462" i="1"/>
  <c r="B15" i="1"/>
  <c r="B543" i="1"/>
  <c r="B337" i="1"/>
  <c r="B476" i="1"/>
  <c r="B188" i="1"/>
  <c r="B529" i="1"/>
  <c r="B43" i="1"/>
  <c r="B264" i="1"/>
  <c r="B98" i="1"/>
  <c r="B459" i="1"/>
  <c r="B334" i="1"/>
  <c r="B177" i="1"/>
  <c r="B445" i="1"/>
  <c r="B60" i="1"/>
  <c r="B269" i="1"/>
  <c r="B194" i="1"/>
  <c r="B56" i="1"/>
  <c r="B242" i="1"/>
  <c r="B416" i="1"/>
  <c r="B507" i="1"/>
  <c r="B97" i="1"/>
  <c r="B71" i="1"/>
  <c r="B243" i="1"/>
  <c r="B199" i="1"/>
  <c r="B221" i="1"/>
  <c r="B440" i="1"/>
  <c r="B147" i="1"/>
  <c r="B218" i="1"/>
  <c r="B20" i="1"/>
  <c r="B186" i="1"/>
  <c r="B451" i="1"/>
  <c r="B278" i="1"/>
  <c r="B47" i="1"/>
  <c r="B367" i="1"/>
  <c r="B244" i="1"/>
  <c r="B296" i="1"/>
  <c r="B323" i="1"/>
  <c r="B421" i="1"/>
  <c r="B187" i="1"/>
  <c r="B511" i="1"/>
  <c r="B425" i="1"/>
  <c r="B89" i="1"/>
  <c r="B394" i="1"/>
  <c r="B319" i="1"/>
  <c r="B57" i="1"/>
  <c r="B50" i="1"/>
  <c r="B499" i="1"/>
  <c r="B294" i="1"/>
  <c r="B508" i="1"/>
  <c r="B400" i="1"/>
  <c r="B444" i="1"/>
  <c r="B474" i="1"/>
  <c r="B166" i="1"/>
  <c r="B81" i="1"/>
  <c r="B317" i="1"/>
  <c r="B200" i="1"/>
  <c r="B410" i="1"/>
  <c r="B168" i="1"/>
  <c r="B165" i="1"/>
  <c r="B73" i="1"/>
  <c r="B432" i="1"/>
  <c r="B528" i="1"/>
  <c r="B113" i="1"/>
  <c r="B281" i="1"/>
  <c r="B93" i="1"/>
  <c r="B246" i="1"/>
  <c r="B76" i="1"/>
  <c r="B557" i="1"/>
  <c r="B271" i="1"/>
  <c r="B6" i="1"/>
  <c r="B149" i="1"/>
  <c r="B571" i="1"/>
  <c r="B118" i="1"/>
  <c r="B150" i="1"/>
  <c r="B44" i="1"/>
  <c r="B259" i="1"/>
  <c r="B285" i="1"/>
  <c r="B376" i="1"/>
  <c r="B536" i="1"/>
  <c r="B163" i="1"/>
  <c r="B327" i="1"/>
  <c r="B114" i="1"/>
  <c r="B141" i="1"/>
  <c r="B453" i="1"/>
  <c r="B19" i="1"/>
  <c r="B4" i="1"/>
  <c r="B80" i="1"/>
  <c r="B126" i="1"/>
  <c r="B37" i="1"/>
  <c r="B513" i="1"/>
  <c r="B266" i="1"/>
  <c r="B85" i="1"/>
  <c r="B396" i="1"/>
  <c r="B155" i="1"/>
  <c r="B38" i="1"/>
  <c r="B404" i="1"/>
  <c r="B545" i="1"/>
</calcChain>
</file>

<file path=xl/sharedStrings.xml><?xml version="1.0" encoding="utf-8"?>
<sst xmlns="http://schemas.openxmlformats.org/spreadsheetml/2006/main" count="5582" uniqueCount="3214">
  <si>
    <t>dfiled</t>
  </si>
  <si>
    <t>docketnum</t>
  </si>
  <si>
    <t>caption</t>
  </si>
  <si>
    <t>status</t>
  </si>
  <si>
    <t>petitioner</t>
  </si>
  <si>
    <t>petitioner_atty</t>
  </si>
  <si>
    <t>respondent</t>
  </si>
  <si>
    <t>respondent_atty</t>
  </si>
  <si>
    <t>address</t>
  </si>
  <si>
    <t>opanum</t>
  </si>
  <si>
    <t>disposition</t>
  </si>
  <si>
    <t>Final Disposition</t>
  </si>
  <si>
    <t>Notes</t>
  </si>
  <si>
    <t>2013-05-30 16:01:00</t>
  </si>
  <si>
    <t xml:space="preserve"> GRATMAN VS KAVEH ETAL</t>
  </si>
  <si>
    <t>ZRDSC - PRAECIPE TO DISCONTINUE</t>
  </si>
  <si>
    <t>GRATMAN, STEVEN</t>
  </si>
  <si>
    <t>VANDERSLICE, RICHARD L</t>
  </si>
  <si>
    <t>KAVEH, HOUSHANG</t>
  </si>
  <si>
    <t>NICOLA, P JOSEPH</t>
  </si>
  <si>
    <t>2445 S ALDER</t>
  </si>
  <si>
    <t>ZRDSC - PRAECIPE TO DISCONTINUE: ORDER TO DISCONTINUE WITHOUT PREJUDICE FILED. (FILED ON BEHALF OF STEVEN GRATMAN)</t>
  </si>
  <si>
    <t>Settled</t>
  </si>
  <si>
    <t>Respondent sold home and paid $7,500 lien to conservator</t>
  </si>
  <si>
    <t>2014-07-07 17:02:00</t>
  </si>
  <si>
    <t>1436-44 GERMANTOWN AVENUE ASSOCIATES, L.L.C.  VS N</t>
  </si>
  <si>
    <t>ZRSDE - PRAEC/SETTLE DISCONTINUE END</t>
  </si>
  <si>
    <t>1436-44 GERMANTOWN AVENUE ASSOCIATES LLC</t>
  </si>
  <si>
    <t>NEW BRIDGE FOUNDATION LLC</t>
  </si>
  <si>
    <t>PERRY, ROGER F</t>
  </si>
  <si>
    <t>1430 GERMANTOWN AVENUE</t>
  </si>
  <si>
    <t>LISPR - RELEASE OF LIS PENDENS FILED: PRAECIPE TO RELEASE LIS PENDENS AS TO PREMISES 1430 GERMANTOWN AVENUE, PHILADELPHIA FILED. (FILED ON BEHALF OF 1436-44 GERMANTOWN AVENUE ASSOCIATES, L.L.C.)</t>
  </si>
  <si>
    <t>2014-07-09 12:49:00</t>
  </si>
  <si>
    <t>MARTIN, MARY-KATE; PERRY, ROGER F</t>
  </si>
  <si>
    <t>1432 GERMANTOWN AVENUE</t>
  </si>
  <si>
    <t>LISPR - RELEASE OF LIS PENDENS FILED: PRAECIPE TO RELEASE LIS PENDENS AS TO PREMISES 1432 GERMANTOWN AVENUE, PHILADELPHIA FILED. (FILED ON BEHALF OF 1436-44 GERMANTOWN AVENUE ASSOCIATES, L.L.C.)</t>
  </si>
  <si>
    <t>2014-07-09 14:05:00</t>
  </si>
  <si>
    <t>1434 GERMANTOWN AVENUE</t>
  </si>
  <si>
    <t>LISPR - RELEASE OF LIS PENDENS FILED: PRAECIPE TO RELEASE LIS PENDENS AS TO PREMISES 1434 GERMANTOWN AVENUE, PHILADELPHIA FILED. (FILED ON BEHALF OF 1436-44 GERMANTOWN AVENUE ASSOCIATES, L.L.C.)</t>
  </si>
  <si>
    <t>2022-03-28 15:14:00</t>
  </si>
  <si>
    <t>1537 TULPEHOCKEN, LLC VS HUSSEIN ETAL</t>
  </si>
  <si>
    <t>ORDST - STAYED BY ORDER OF COURT</t>
  </si>
  <si>
    <t>1537 TULPEHOCKEN LLC</t>
  </si>
  <si>
    <t>HUSSEIN, RAZAN</t>
  </si>
  <si>
    <t>1740 N 26TH STREET</t>
  </si>
  <si>
    <t>ZR236 - NOTICE GIVEN UNDER RULE 236: NOTICE GIVEN ON 19-AUG-2022 OF STAYED BY ORDER OF COURT ENTERED ON 19-AUG-2022.</t>
  </si>
  <si>
    <t>Active</t>
  </si>
  <si>
    <t>2022-04-14 15:38:00</t>
  </si>
  <si>
    <t>1537 TULPEHOCKEN, LLC VS ROBERSON ETAL</t>
  </si>
  <si>
    <t>M0591 - LISTED-STAT CONF CONSERVATOR</t>
  </si>
  <si>
    <t>ALL UNKNOWN HEIRS; ROBERSON, ALICE</t>
  </si>
  <si>
    <t>1940 N HOLLYWOOD STREET</t>
  </si>
  <si>
    <t>LISPR - RELEASE OF LIS PENDENS FILED: PRAECIPE TO RELEASE LIS PENDENS AS TO PREMISES 1940 N HOLLYWOOD STREET, PHILADELPHIA FILED. (FILED ON BEHALF OF 1537 TULPEHOCKEN LLC)</t>
  </si>
  <si>
    <t>2022-01-27 10:32:00</t>
  </si>
  <si>
    <t xml:space="preserve">1537 TULPEHOCKEN, LLC VS THE WHITTAKER GROUP, LLC </t>
  </si>
  <si>
    <t>WHITTAKER GROUP LLC</t>
  </si>
  <si>
    <t>2613 W MONTGOMERY AVENUE</t>
  </si>
  <si>
    <t>M0462 - LISTED-STAT CONF CONSERVATOR: 00-22014900 HEARING SCHEDULED FOR 3/13/2023 AT 9:30 A.M. IN COURTROOM 453, CITY HALL.</t>
  </si>
  <si>
    <t>but found blighted</t>
  </si>
  <si>
    <t>2022-12-08 15:53:00</t>
  </si>
  <si>
    <t>1537 TULPEHOCKEN, LLC VS WILLIAMS-HAND ETAL</t>
  </si>
  <si>
    <t>ACTIV - ACTIVE CASE</t>
  </si>
  <si>
    <t>WILLIAMS-HAND, BEVERLY</t>
  </si>
  <si>
    <t>659 UNION STREET</t>
  </si>
  <si>
    <t>MTASN - MOTION ASSIGNED: 54-22121854 PET-APPT CONSERVATOR-ACT 135 ASSIGNED TO JUDGE: JUDGE, CONSERVATORSHIP . ON DATE: DECEMBER 12, 2022</t>
  </si>
  <si>
    <t>2017-06-22 17:13:00</t>
  </si>
  <si>
    <t>211 N. 13TH STREET ASSOCIATES VS 13TH STREET HOSPI</t>
  </si>
  <si>
    <t>211 N. 13TH STREET ASSOCIATES</t>
  </si>
  <si>
    <t>FELLHEIMER, ALAN S</t>
  </si>
  <si>
    <t>13TH STREET HOSPITALITY LLC</t>
  </si>
  <si>
    <t>KEARNEY, JOHN B; SCHWARTZ, BARBARA A</t>
  </si>
  <si>
    <t>228-238 N 13TH</t>
  </si>
  <si>
    <t>ZRDSC - PRAECIPE TO DISCONTINUE: ORDER TO DISCONTINUE WITHOUT PREJUDICE FILED. (FILED ON BEHALF OF 211 N. 13TH STREET ASSOCIATES)</t>
  </si>
  <si>
    <t>Discontinued without settlement</t>
  </si>
  <si>
    <t>2013-06-19 22:00:00</t>
  </si>
  <si>
    <t>3040 BALTZ LLC VS EPURE   ETAL</t>
  </si>
  <si>
    <t>3040 BALTZ LLC</t>
  </si>
  <si>
    <t>CAMPBELL, BRUCE; EPURE, EDWARD</t>
  </si>
  <si>
    <t>ANASTASIO, VERN</t>
  </si>
  <si>
    <t>3043 BALTZ STREET</t>
  </si>
  <si>
    <t>ZRDSC - PRAECIPE TO DISCONTINUE: ORDER TO DISCONTINUE WITHOUT PREJUDICE FILED. (FILED ON BEHALF OF 3040 BALTZ LLC)</t>
  </si>
  <si>
    <t>2013-06-19 21:48:00</t>
  </si>
  <si>
    <t>3040 BALTZ LLC VS EPURE  ETAL</t>
  </si>
  <si>
    <t>ANASTASIO, VERN; RIGA, JOSEPH F; TRAINOR, MICHAEL P</t>
  </si>
  <si>
    <t>3045 BALTZ STREET</t>
  </si>
  <si>
    <t>PRSDE - PRAEC/SETTLE DISCONTINUE END: SETTLED VIA S D &amp; E PRAECIPE FILED. (FILED ON BEHALF OF 3040 BALTZ LLC)</t>
  </si>
  <si>
    <t>2022-02-11 12:56:00</t>
  </si>
  <si>
    <t>3858 GIRARD LLC VS BAILEY</t>
  </si>
  <si>
    <t>3858 GIRARD LLC</t>
  </si>
  <si>
    <t>BENOFF, BART</t>
  </si>
  <si>
    <t>BAILEY, STANLEY</t>
  </si>
  <si>
    <t>885-87 N 41ST STREET</t>
  </si>
  <si>
    <t>062247200</t>
  </si>
  <si>
    <t>M0462 - LISTED-STAT CONF CONSERVATOR: 94-22022994   HEARING SCHEDULED FOR 02-14-23 AT 09:30 A.M. IN COURTROOM 453, CITY HALL</t>
  </si>
  <si>
    <t>2021-01-19 12:51:00</t>
  </si>
  <si>
    <t>3858 GIRARD LLC VS MONOPOLY REALTY BROTHERS, LLC E</t>
  </si>
  <si>
    <t>ORDRF - ORDER ENTERED - FINAL DISPOS</t>
  </si>
  <si>
    <t>MONOPOLY REALTY BROTHERS LLC</t>
  </si>
  <si>
    <t>PAUL, ANDREA B</t>
  </si>
  <si>
    <t>3820 W GIRARD AVENUE</t>
  </si>
  <si>
    <t>LISPR - RELEASE OF LIS PENDENS FILED: ***CORRECTION TO JUDGMENT INDEX: LIS PENDENS RELEASED PURSUANT TO COURT ORDER DATED 04-07-2022. INDEX UPDATED 04-08-2022.</t>
  </si>
  <si>
    <t>Deemed blighted, remediated by property owner, fees paid to petitioner</t>
  </si>
  <si>
    <t>2016-06-02 11:40:00</t>
  </si>
  <si>
    <t>4 BRYNN LLC VS LUCIUS NEWMAN ADMR OF THE ESTATE</t>
  </si>
  <si>
    <t>4 BRYNN LLC</t>
  </si>
  <si>
    <t>STEIN, JONATHAN E; VANDERSLICE, RICHARD L</t>
  </si>
  <si>
    <t>LUCIUS NEWMAN, ADMR OF THE ESTATE OF IRIS C. VADEN NEWMAN; VASQUEZ, JOEL</t>
  </si>
  <si>
    <t>CIANFRANI, DEBORAH D; ROONEY V, JOHN F</t>
  </si>
  <si>
    <t>3101 N 05TH ST</t>
  </si>
  <si>
    <t>CORCT - CORRECTIVE ENTRY: 08-20112208 PETITION FOR APPROVAL OF FEES AND COSTS (FILED ON BEHALF OF 4 BRYNN, LLC) WAS FILED IN THE ABOVE CAPTION MATTER IS ERROR AND IT IS BEING MOVED TO THE CORRECT DOCKET OF 4 BRYNN LLC VS LUCIUS NEWMAN ADMR OF THE ESTATE CCP JUNE TERM 2017, NO 03318.</t>
  </si>
  <si>
    <t>Conservator appointed</t>
  </si>
  <si>
    <t>remediated, fees ordered</t>
  </si>
  <si>
    <t>2017-06-29 15:00:00</t>
  </si>
  <si>
    <t>M0678 - LISTED-HRING DISTRIBUTE FUNDS</t>
  </si>
  <si>
    <t>CIANFRANI, DEBORAH D</t>
  </si>
  <si>
    <t>439 W CLEARFIELD ST</t>
  </si>
  <si>
    <t>MAILR - RETURNED MAIL RECEIVED: RETURNED MAIL ORDER DATED 12/10/20 AS UNDELIVERABLE AT THE ADDRESS ON FILE WITH THE COURT TO THE FOLLOWING PARTY: LUCIUS NEWMAN, ADMR OF THE ESTATE OF IRIS C. VADEN NEWMAN.</t>
  </si>
  <si>
    <t>, remediated, fees ordered</t>
  </si>
  <si>
    <t>2018-11-29 15:59:00</t>
  </si>
  <si>
    <t>41 BROWN, LLC VS 809 NORTH 41ST STREET, LLC ETAL</t>
  </si>
  <si>
    <t>41 BROWN LLC</t>
  </si>
  <si>
    <t>809 NORTH 41ST STREET LLC</t>
  </si>
  <si>
    <t>809 N 41ST STREET</t>
  </si>
  <si>
    <t>062243400</t>
  </si>
  <si>
    <t>MAILR - RETURNED MAIL RECEIVED: RETURNED MAIL ORDER DATED 12/04/21 AS UNDELIVERABLE AT THE ADDRESS ON FILE WITH THE COURT TO THE FOLLOWING PARTY: CITY OF PHILADELPHIA.</t>
  </si>
  <si>
    <t>remediated, sold, fees ordered</t>
  </si>
  <si>
    <t>2020-10-27 15:33:00</t>
  </si>
  <si>
    <t>41 BROWN, LLC VS FRIENDS REHABILITATION PROGRAM, I</t>
  </si>
  <si>
    <t>FRIENDS REHABILITATION PROGRAM INC</t>
  </si>
  <si>
    <t>FARRIS, NATHANAEL CLARK; GEST, DAVID M; HAZLETT, THOMAS W; SKLAROFF, MICHAEL</t>
  </si>
  <si>
    <t>862-72 N 41ST STREET</t>
  </si>
  <si>
    <t>062254100</t>
  </si>
  <si>
    <t>PRSDE - PRAEC/SETTLE DISCONTINUE END: SETTLED VIA S D &amp; E PRAECIPE FILED. (FILED ON BEHALF OF 41 BROWN LLC)</t>
  </si>
  <si>
    <t>2021-05-21 12:01:00</t>
  </si>
  <si>
    <t>41 BROWN, LLC VS LKM HOLDINGS ETAL</t>
  </si>
  <si>
    <t>LKM HOLDINGS</t>
  </si>
  <si>
    <t>TURNER JR, FRANK L</t>
  </si>
  <si>
    <t>4009-11 PARRISH STREET</t>
  </si>
  <si>
    <t>062059300</t>
  </si>
  <si>
    <t>M0462 - LISTED-STAT CONF CONSERVATOR: 52-21053552 HEARING SCHEDULED FOR 02-03-23 AT 1:30 P.M. IN COURTROOM 453, CITY HALL.</t>
  </si>
  <si>
    <t>conservator appointed, potential settlement</t>
  </si>
  <si>
    <t>2018-12-02 20:22:00</t>
  </si>
  <si>
    <t>41 BROWN, LLC VS NGUYEN ETAL</t>
  </si>
  <si>
    <t>NGUYEN, PHUC HONG</t>
  </si>
  <si>
    <t>STERN, DOUGLAS N</t>
  </si>
  <si>
    <t>806 N 41ST STREET</t>
  </si>
  <si>
    <t>062251800</t>
  </si>
  <si>
    <t>2021-10-15 14:01:00</t>
  </si>
  <si>
    <t>41 BROWN, LLC VS THOMAS ETAL</t>
  </si>
  <si>
    <t>THOMAS, RODGER</t>
  </si>
  <si>
    <t>BROWNING, DEON; ZIMMERMAN, JUSTIN</t>
  </si>
  <si>
    <t>817 N 41ST STREET</t>
  </si>
  <si>
    <t>062243800</t>
  </si>
  <si>
    <t>M0462 - LISTED-STAT CONF CONSERVATOR: 79-21102879 HEARING SCHEDULED FOR 4/3/2023 AT 10:30 A.M. IN COURTROOM 453, CITY HALL</t>
  </si>
  <si>
    <t>conservator appointed</t>
  </si>
  <si>
    <t>2017-03-07 14:50:00</t>
  </si>
  <si>
    <t>4701-15 WAYNE AVENUE LP VS MILLER ETAL</t>
  </si>
  <si>
    <t>4701-15 WAYNE AVENUE LP</t>
  </si>
  <si>
    <t>MCILHINNEY, MICHAEL P; TONER, PAUL J</t>
  </si>
  <si>
    <t>MILLER, SUSAN E; UNKNOWN HEIRS OF STEVEN J. MILLER</t>
  </si>
  <si>
    <t>5138-40 WAYNE AVENUE</t>
  </si>
  <si>
    <t>MAILR - RETURNED MAIL RECEIVED: RETURNED MAIL ORDER DATED 02/10/21 AS UNDELIVERABLE AT THE ADDRESS ON FILE WITH THE COURT TO THE FOLLOWING PARTY: UNKNOWN HEIRS OF STEVEN J MILLER.</t>
  </si>
  <si>
    <t>Conservator appointed, sold, fees ordered</t>
  </si>
  <si>
    <t>2017-02-17 11:18:00</t>
  </si>
  <si>
    <t>5TH STREET HOLDINGS LLC VS COLMON ETAL</t>
  </si>
  <si>
    <t>5TH STREET HOLDINGS LLC; KTS PROPERTIES I LLC</t>
  </si>
  <si>
    <t>STEIN, JONATHAN E; VANDERSLICE, RICHARD L; WATSON, DEANNA E</t>
  </si>
  <si>
    <t>COLMON, WANDA; MAZUZ, HAIA; MAZUZ, MEIR</t>
  </si>
  <si>
    <t>KOVAN, CHRISTINE M; WILSON, SHARON</t>
  </si>
  <si>
    <t>5031 PENTRIDGE STREET</t>
  </si>
  <si>
    <t>LISPR - RELEASE OF LIS PENDENS FILED: PRAECIPE TO RELEASE LIS PENDENS AS TO PREMISES 5031 PENTRIDGE STREET, PHILADELPHIA FILED. (FILED ON BEHALF OF KTS PROPERTIES I LLC)</t>
  </si>
  <si>
    <t>2017-02-02 17:46:00</t>
  </si>
  <si>
    <t>5TH STREET HOLDINGS LLC VS MACK ETAL</t>
  </si>
  <si>
    <t>5TH STREET HOLDINGS LLC</t>
  </si>
  <si>
    <t>MACK, QUAN THUYEN</t>
  </si>
  <si>
    <t>PEARL, JAMES L</t>
  </si>
  <si>
    <t>1313 S 23RD STREET</t>
  </si>
  <si>
    <t>LISPR - RELEASE OF LIS PENDENS FILED: PRAECIPE TO RELEASE LIS PENDENS AS TO PREMISES 1313 S 23RD STREET, PHILADELPHIA FILED. (FILED ON BEHALF OF 5TH STREET HOLDINGS LLC)</t>
  </si>
  <si>
    <t>2014-08-08 16:46:00</t>
  </si>
  <si>
    <t>ACKELSBERG ETAL VS SOEHNGEN ETAL</t>
  </si>
  <si>
    <t>WSPTJ - SETTLED PRIOR TO ASSGN TRL JUD</t>
  </si>
  <si>
    <t>ACKELSBERG, IRV; UREVICK, PATRICIA A</t>
  </si>
  <si>
    <t>ACKELSBERG, IRV</t>
  </si>
  <si>
    <t>SOEHNGEN, JAN</t>
  </si>
  <si>
    <t>MARTIN, MARY-KATE; WEISGOLD, DEAN E</t>
  </si>
  <si>
    <t>5025 SCHUYLER STREET</t>
  </si>
  <si>
    <t>LISPR - RELEASE OF LIS PENDENS FILED: PRAECIPE TO RELEASE LIS PENDENS AS TO PREMISES 5025 SCHUYLER STREET, PHILADELPHIA FILED. (FILED ON BEHALF OF JAN SOEHNGEN)</t>
  </si>
  <si>
    <t>2013-04-05 12:25:00</t>
  </si>
  <si>
    <t>ARRIVELLO VS AGEE</t>
  </si>
  <si>
    <t>DISPO - DISPOSED -  CASE CLOSED</t>
  </si>
  <si>
    <t>ARRIVELLO, STEPHEN</t>
  </si>
  <si>
    <t>DONAHUE, F SCOTT</t>
  </si>
  <si>
    <t>AGEE, ANN M</t>
  </si>
  <si>
    <t>2330 ST. ALBANS STREET</t>
  </si>
  <si>
    <t>DISPO - DISPOSED -  CASE CLOSED: CASE IS DISPOSED. SEE ORDER RELATED TO CONTROL NUMBER 13040998 DATED 5/2/2014. JPE/CAO</t>
  </si>
  <si>
    <t>Dismissed</t>
  </si>
  <si>
    <t>2017-12-18 10:30:00</t>
  </si>
  <si>
    <t>BAILEY VS ADAMSONS ETAL</t>
  </si>
  <si>
    <t>BAILEY, MATTHEW</t>
  </si>
  <si>
    <t>BURNS, DARA</t>
  </si>
  <si>
    <t>ADAMSONS, ARNOLD; ADAMSONS, FRIDA</t>
  </si>
  <si>
    <t>237-239 E WISTER STREET</t>
  </si>
  <si>
    <t>M0378 - CORRECTION TO JUDGMENT INDEX: CORRECTION TO LOCALITY INDEX: LIS PENDENS LIFTED PURSUANT TO COURT ORDER DATED 12/21/2017. INDEX UPDATED ON 12/28/2017</t>
  </si>
  <si>
    <t>Petition Denied</t>
  </si>
  <si>
    <t>2018-01-19 13:17:00</t>
  </si>
  <si>
    <t>BAILEY VS ESTATE OF ARNOLD ADAMSONS ETAL</t>
  </si>
  <si>
    <t>BURNS, DARA; KULDINER, MICHAEL</t>
  </si>
  <si>
    <t>ADAMSONS ESTATE OF, ARNOLD; ADAMSONS ESTATE OF, FRIDA</t>
  </si>
  <si>
    <t>ZRDSC - PRAECIPE TO DISCONTINUE: ORDER TO DISCONTINUE WITHOUT PREJUDICE FILED. (FILED ON BEHALF OF MATTHEW BAILEY)</t>
  </si>
  <si>
    <t>Discontinued</t>
  </si>
  <si>
    <t>2021-09-20 13:26:00</t>
  </si>
  <si>
    <t>BARNES ETAL VS ESTATE OF THOMAS JONES ETAL</t>
  </si>
  <si>
    <t>1537 TULPEHOCKEN LLC; BARNES, VERA</t>
  </si>
  <si>
    <t>ALL UNKNOWN HEIRS; JONES ESTATE OFTHOMAS</t>
  </si>
  <si>
    <t>1723 N 29TH STREET</t>
  </si>
  <si>
    <t>MAILR - RETURNED MAIL RECEIVED: RETURNED MAIL ORDER DATED 12/21/21 AS UNDELIVERABLE AT THE ADDRESS ON FILE WITH THE COURT TO THE FOLLOWING PARTY: ALL UNKNOWN HEIRS.</t>
  </si>
  <si>
    <t>2022-12-28 16:17:00</t>
  </si>
  <si>
    <t>BLANCO VS BOMZE ETAL</t>
  </si>
  <si>
    <t>BLANCO, LIZA</t>
  </si>
  <si>
    <t>BOMZE, ARNOLD; BOMZE, HELEN</t>
  </si>
  <si>
    <t>1209 GILHAM STREET</t>
  </si>
  <si>
    <t>MTASN - MOTION ASSIGNED: 95-22127195 PET-APPT CONSERVATOR-ACT 135 ASSIGNED TO JUDGE: JUDGE, CONSERVATORSHIP . ON DATE: DECEMBER 30, 2022</t>
  </si>
  <si>
    <t>2017-04-25 15:34:00</t>
  </si>
  <si>
    <t>BORRIELLO VS YYD REALTY</t>
  </si>
  <si>
    <t>BORRIELLO, PAUL</t>
  </si>
  <si>
    <t>CANUSO JR., VITO F</t>
  </si>
  <si>
    <t>YYD REALTY</t>
  </si>
  <si>
    <t>MESTER, LAURENCE A</t>
  </si>
  <si>
    <t>1126 S 09TH STREET</t>
  </si>
  <si>
    <t>PRSDE - PRAEC/SETTLE DISCONTINUE END: SETTLED VIA S D &amp; E PRAECIPE FILED. (FILED ON BEHALF OF PAUL BORRIELLO)</t>
  </si>
  <si>
    <t>2013-08-07 11:01:00</t>
  </si>
  <si>
    <t>BRIDESBURG COMMUNITY DEVELOPMENT CORP. VS WAGNER E</t>
  </si>
  <si>
    <t>BRIDESBURG COMMUNITY DEVELOPMENT CORPORATION</t>
  </si>
  <si>
    <t>WAGNER, PHILOMENA</t>
  </si>
  <si>
    <t>MARTIN, MARY-KATE</t>
  </si>
  <si>
    <t>2715 EDDINGTON STREET</t>
  </si>
  <si>
    <t>ORDRF - ORDER ENTERED - FINAL DISPOS: SEE JUDGE NEW'S ORDER DATED 12/31/2014.   ... JPE/CAO</t>
  </si>
  <si>
    <t>NA, docket not openning</t>
  </si>
  <si>
    <t>2012-06-17 12:50:00</t>
  </si>
  <si>
    <t>BRIDESBURG COMMUNITY DEVELOPMENT CORPORATION VS BR</t>
  </si>
  <si>
    <t>BRADLEY, KATHLEEN</t>
  </si>
  <si>
    <t>4729-31 RICHMOND STREET</t>
  </si>
  <si>
    <t>WSPTJ - SETTLED PRIOR TO ASSGN TRL JUD: THE COURT HAVING BEEN ADVISED THAT THE WITHIN CASE HAS BEEN SETTLED, THE CASE SHALL BE MARKED "DISCONTINUED" ON THE PROTHONOTARY'S DOCKET AND REMOVED FROM THE APPLICABLE LIST AND INVENTORY OF PENDING CASES.  IF THE INSTANT PROCEEDINGS INVOLVE AN APPEAL FROM A COMPULSORY ARBITRATION AWARD, ANY LIEN FROM THE ARBITRATION AWARD IS RELEASED. THIS CASE MAY BE RESTORED TO THE TRIAL LIST ONLY UPON WRITTEN ORDER OF THE TEAM/PROGRAM LEADER.  THIS RELIEF SHALL BE REQUESTED BY FORMAL MOTION.  IT IS FURTHER ORDERED AND DECREED THAT IN THE FOLLOWING TYPES OF CASES ADDITIONAL STEPS MUST BE TAKEN TO OFFICIALLY CONCLUDE THE CASE: MINOR'S COMPROMISES, INCOMPETENT/INCAPACITATED PERSON'S COMPROMISES, WRONGFUL DEATH/SURVIVAL ACTIONS (SEE PA. R.C.P. 2039,2064,2206, PHILA CIV. R. NO.2039.1, 2206, AND JOINT GENERAL COURT REGULATION 97-1) AND JOINDER (SEE PA. R.C.P. 2231).  ...BY THE COURT:  HON. ALLAN L. TERESHKO,   10-5-2012.</t>
  </si>
  <si>
    <t>2012-03-12 16:18:00</t>
  </si>
  <si>
    <t>C&amp;L INVESTMENTS, LLC VS CHRISTIAM ETAL</t>
  </si>
  <si>
    <t>C&amp;L INVESTMENTS LLC</t>
  </si>
  <si>
    <t>CHRISTIAN, CLARENCE; DOBBINS, LAURETA</t>
  </si>
  <si>
    <t>6239 WASHINGTON AVENUE</t>
  </si>
  <si>
    <t>033112700</t>
  </si>
  <si>
    <t>DISPO - DISPOSED -  CASE CLOSED: CASE CLOSED PURSUANT TO THE MARCH 15, 2013 ORDER DENYING THE PETITION FOR THE APPOINT OF A CONSERVATOR.</t>
  </si>
  <si>
    <t>2021-08-03 11:28:00</t>
  </si>
  <si>
    <t>CALHOUN VS BAKER-FANN ETAL</t>
  </si>
  <si>
    <t>CALHOUN, SANDRA</t>
  </si>
  <si>
    <t>CARR, PETER; RITTERMAN, SAMUEL H</t>
  </si>
  <si>
    <t>BAKER-FANN, KEHINDE; FANN ESTATE OF, ALBERTA</t>
  </si>
  <si>
    <t>FOXWORTH JR, RODERICK L; PATTERSON, DANYL S</t>
  </si>
  <si>
    <t>1009 BELMONT AVENUE</t>
  </si>
  <si>
    <t>062333000</t>
  </si>
  <si>
    <t>MAILR - RETURNED MAIL RECEIVED: RETURNED MAIL ORDER DATED 11/22/22 AS UNDELIVERABLE AT THE ADDRESS ON FILE WITH THE COURT TO THE FOLLOWING PARTY: ALBERTA FANN ESTATE OF.</t>
  </si>
  <si>
    <t>2011-08-31 14:40:00</t>
  </si>
  <si>
    <t>CARDILLO VS IZZO</t>
  </si>
  <si>
    <t>SATFD - SATISFACTION FILED</t>
  </si>
  <si>
    <t>CARDILLO, JOSEPHINE</t>
  </si>
  <si>
    <t>BUSCEMI, CATHY; BUSCEMI, JACK; IZZO, ANTONIO</t>
  </si>
  <si>
    <t>DIGIORGIO, JOHN S; VANDERMARK, JEREMIAH J</t>
  </si>
  <si>
    <t>1819 S 11TH STREET</t>
  </si>
  <si>
    <t>012405005</t>
  </si>
  <si>
    <t>SATFD - SATISFACTION FILED: ORDER TO SATISFY THE JUDGMENT FILED. (FILED ON BEHALF OF JOSEPHINE CARDILLO)</t>
  </si>
  <si>
    <t>2016-09-01 10:24:00</t>
  </si>
  <si>
    <t>CASABLANCA INVESTORS LLC VS HELLER ETAL</t>
  </si>
  <si>
    <t>CASABLANCA INVESTORS LLC</t>
  </si>
  <si>
    <t>HELLER, LAMONT M</t>
  </si>
  <si>
    <t>3616 HAVERFORD AVENUE</t>
  </si>
  <si>
    <t>LISPR - RELEASE OF LIS PENDENS FILED: PRAECIPE TO RELEASE LIS PENDENS AS TO PREMISES 3616 HAVERFORD, PHILADELPHIA FILED. (FILED ON BEHALF OF CASABLANCA INVESTORS LLC)</t>
  </si>
  <si>
    <t>2017-07-12 10:58:00</t>
  </si>
  <si>
    <t>ALL UNKNOWN HEIRS; DRAIN ESTATE OF, HATTIE; DRAIN, JAMES M; HELLER, LAMONT M</t>
  </si>
  <si>
    <t>MTASN - MOTION ASSIGNED: 30-17120430 MOTION FOR ALTERNATIVE SERVICE ASSIGNED TO JUDGE: JUDGE, SUPERVISING . ON DATE: DECEMBER 05, 2017</t>
  </si>
  <si>
    <t>2018-01-22 17:52:00</t>
  </si>
  <si>
    <t>CASABLANCA INVESTORS LLC VS THE ESTATE OF HATTIE D</t>
  </si>
  <si>
    <t>MAILR - RETURNED MAIL RECEIVED: RETURNED MAIL ORDER DATED 02/16/22 AS UNDELIVERABLE AT THE ADDRESS ON FILE WITH THE COURT TO THE FOLLOWING PARTY: ALL UNKNOWN HEIRS.</t>
  </si>
  <si>
    <t>Sold to conservator</t>
  </si>
  <si>
    <t>2020-07-28 17:06:00</t>
  </si>
  <si>
    <t>CENTENNIAL PARKSIDE CDC VS RULTENBERG ETAL</t>
  </si>
  <si>
    <t>CENTENNIAL PARKSIDE CDC</t>
  </si>
  <si>
    <t>RULTENBERG, DONNA; RULTENBERG, STANTON</t>
  </si>
  <si>
    <t>SINOWITZ, STANLEY J</t>
  </si>
  <si>
    <t>1719 N 42ND</t>
  </si>
  <si>
    <t>WTAPP - WITHDRAWAL/ENTRY OF APPEARANCE: WITHDRAWAL OF APPEARANCE OF PETER CARR AND ENTRY OF APPEARANCE OF SAMUEL H RITTERMAN FILED. (FILED ON BEHALF OF CENTENNIAL PARKSIDE CDC)</t>
  </si>
  <si>
    <t>Conservator appointed, fee structure approved</t>
  </si>
  <si>
    <t>2020-07-28 17:28:00</t>
  </si>
  <si>
    <t>CENTENNIAL PARKSIDE CDC VS TAYLOR ETAL</t>
  </si>
  <si>
    <t>TAYLOR, JOSEPHINE</t>
  </si>
  <si>
    <t>CONSOLE ESQ, JOSEPH J</t>
  </si>
  <si>
    <t>1720 MARLTON AVENUE</t>
  </si>
  <si>
    <t>062272000</t>
  </si>
  <si>
    <t>MTASN - MOTION ASSIGNED: 90-22091190 MISCELLANEOUS MOTION/PETITION ASSIGNED TO JUDGE: JUDGE, CONSERVATORSHIP . ON DATE: SEPTEMBER 29, 2022</t>
  </si>
  <si>
    <t>2020-07-28 16:41:00</t>
  </si>
  <si>
    <t>CENTENNIAL PARKSIDE CDC VS VOLTAIRE ETAL</t>
  </si>
  <si>
    <t>VOLTAIRE, GARRY N</t>
  </si>
  <si>
    <t>AMAZAN, CLEMENTA; KLYASHTORNY, NATALIE; MARTIN, MARY-KATE; NOCHUMSON, ALAN</t>
  </si>
  <si>
    <t>1515 BELMONT</t>
  </si>
  <si>
    <t>2016-01-13 17:07:00</t>
  </si>
  <si>
    <t>CHAMPAGNE ETAL VS COBBS ETAL</t>
  </si>
  <si>
    <t>CHAMPAGNE, DAVID; PHILADELPHIA COMMUNITY DEVELOPMENT COALITION</t>
  </si>
  <si>
    <t>COBBS, EARLINE S; UNKNOWN HEIRS OF EARLINE S COBBS</t>
  </si>
  <si>
    <t>SHINGLES, EVAN S; SHINGLES, STANLEY M</t>
  </si>
  <si>
    <t>837 CAMERON STREET</t>
  </si>
  <si>
    <t>PRSDE - PRAEC/SETTLE DISCONTINUE END: SETTLED VIA S D &amp; E PRAECIPE FILED. (FILED ON BEHALF OF PHILADELPHIA COMMUNITY DEVELOPMENT COALITION AND DAVID CHAMPAGNE)</t>
  </si>
  <si>
    <t>2016-01-27 10:35:00</t>
  </si>
  <si>
    <t xml:space="preserve">CHAMPAGNE ETAL VS DIETRA SMITH, ADMINISTRATRIX OF </t>
  </si>
  <si>
    <t>DIETRA SMITH, ADMINISTRATRIX OF THE ESTATE OF REDELLA CAVE; DIETRA SMITH, AS TRUSTEE U/W OF REDELLA CAVE FBO DESCENDANTS</t>
  </si>
  <si>
    <t>1612 PARRISH STREET</t>
  </si>
  <si>
    <t>PRSDE - PRAEC/SETTLE DISCONTINUE END: SETTLED VIA S D &amp; E PRAECIPE FILED. (FILED ON BEHALF OF PHILADELPHIA COMMUNITY DEVELOPEMENT COALITION AND DAVID CHAMPAGNE)</t>
  </si>
  <si>
    <t>2016-02-11 12:47:00</t>
  </si>
  <si>
    <t>CHAMPAGNE ETAL VS TUCKER ETAL</t>
  </si>
  <si>
    <t>TUCKER, CHRISTINE</t>
  </si>
  <si>
    <t>1740 WYLIE</t>
  </si>
  <si>
    <t>2015-04-02 11:36:00</t>
  </si>
  <si>
    <t>CHAMPAGNE VS ESTATE OF MARGARET SCHULER</t>
  </si>
  <si>
    <t>CHAMPAGNE, DAVID</t>
  </si>
  <si>
    <t>SCHULER ESTATE OF, MARGARET</t>
  </si>
  <si>
    <t>KOELSCH 273, YEKATERINA; MURPHY, KEVIN J</t>
  </si>
  <si>
    <t>1825 OLIVE STREET</t>
  </si>
  <si>
    <t>PRSDE - PRAEC/SETTLE DISCONTINUE END: SETTLED VIA S D &amp; E PRAECIPE FILED. (FILED ON BEHALF OF DAVID CHAMPAGNE)</t>
  </si>
  <si>
    <t>2015-02-27 15:54:00</t>
  </si>
  <si>
    <t>CHAMPAGNE VS MANDAN ETAL</t>
  </si>
  <si>
    <t>MANDAN, MICHAEL E</t>
  </si>
  <si>
    <t>823 CORINTHIAN AVENUE</t>
  </si>
  <si>
    <t>ZR236 - NOTICE GIVEN UNDER RULE 236: NOTICE GIVEN ON 08-JUN-2015 OF ORDER ENTERED/236 NOTICE GIVEN ENTERED ON 04-JUN-2015.</t>
  </si>
  <si>
    <t>2015-04-21 14:20:00</t>
  </si>
  <si>
    <t>BENNETT III, FRANKLIN A; MCILHINNEY, MICHAEL P; TONER, PAUL J</t>
  </si>
  <si>
    <t>KRIK, JUSTIN L; MARTIN, MARY-KATE</t>
  </si>
  <si>
    <t>ORDER - ORDER ENTERED/236 NOTICE GIVEN: 77-15043077    AND NOW, THIS 21ST DAY OF APRIL, 2016, PURSUANT TO THE REQUEST OF THE PETITIONER THE ABOVE CAPTIONED MATTER IS DISCONTINUED.  BY THE COURT:  FOX, J.  4/21/16.</t>
  </si>
  <si>
    <t>2014-07-12 15:10:00</t>
  </si>
  <si>
    <t>CHAMPAGNE VS RODRIGUEZ ETAL</t>
  </si>
  <si>
    <t>TONER, PAUL J</t>
  </si>
  <si>
    <t>CITY OF PHILADELPHIA; RODRIGUEZ, JOSE; RODRIGUEZ, SARLI</t>
  </si>
  <si>
    <t>BELLER ESQ, JOSEPH; FINNERTY, MEGHAN K; MARTIN, MARY-KATE</t>
  </si>
  <si>
    <t>916 N 20TH STREET</t>
  </si>
  <si>
    <t>LISPR - RELEASE OF LIS PENDENS FILED: PRAECIPE TO RELEASE LIS PENDENS AS TO PREMISES 916 N 20TH STREET, PHILADELPHIA FILED. (FILED ON BEHALF OF DAVID CHAMPAGNE)</t>
  </si>
  <si>
    <t>2015-08-17 10:19:00</t>
  </si>
  <si>
    <t>CHAMPAGNE VS THE THOMAS COLE GROUP, INC. ETAL</t>
  </si>
  <si>
    <t>THOMAS COLE GROUP INC</t>
  </si>
  <si>
    <t>CHIESA, KRISTOFER B; LUCKMAN, BRUCE</t>
  </si>
  <si>
    <t>863 N UBER STREET</t>
  </si>
  <si>
    <t>CRTRR - CERTIFIED RECORD RECEIVED: RECORD RETURNED FROM COMMOWEALTH COURT AT 2300 CD 2015.</t>
  </si>
  <si>
    <t>2017-05-03 13:16:00</t>
  </si>
  <si>
    <t>CHEN VS THE ESTATE OF ANNA M. GOLDEN ETAL</t>
  </si>
  <si>
    <t>CHEN, CHU-YI</t>
  </si>
  <si>
    <t>BERGER, GRANT G; STEIN, JONATHAN E; VANDERSLICE, RICHARD L</t>
  </si>
  <si>
    <t>GOLDEN, ANNA M; GOLDEN ESTATE OF, ANNA M</t>
  </si>
  <si>
    <t>2712 W HARPER STREET</t>
  </si>
  <si>
    <t>Settled and dismissed</t>
  </si>
  <si>
    <t>some service issues</t>
  </si>
  <si>
    <t>2022-01-26 18:00:00</t>
  </si>
  <si>
    <t xml:space="preserve">COMMONWEALTH PRESERVATION ALLIANCE INC. VS CZAPLA </t>
  </si>
  <si>
    <t>COMMONWEALTH PRESERVATION ALLIANCE INC</t>
  </si>
  <si>
    <t>MCILHINNEY, MICHAEL P; PFIRRMAN, JOHN ROBERT; TONER, PAUL J</t>
  </si>
  <si>
    <t>CZAPLA, MARIUSZ</t>
  </si>
  <si>
    <t>2652-54 BRIDGE STREET</t>
  </si>
  <si>
    <t>MAILR - RETURNED MAIL RECEIVED: RETURNED MAIL ORDER DATED 04/28/22 AS UNDELIVERABLE AT THE ADDRESS ON FILE WITH THE COURT TO THE FOLLOWING PARTY: MARIUSZ CZAPLA.</t>
  </si>
  <si>
    <t>2018-11-19 18:34:00</t>
  </si>
  <si>
    <t>COMMONWEALTH PRESERVATION ALLIANCE, INC.  VS DESAN</t>
  </si>
  <si>
    <t>GARDNER, CAROLINE A; MCILHINNEY, MICHAEL P; TONER, PAUL J</t>
  </si>
  <si>
    <t>DESANTIS, THOMAS; UNKNOWN HEIRS OF JOHN F DESANTIS</t>
  </si>
  <si>
    <t>606 WENDOVER STREET</t>
  </si>
  <si>
    <t>ORDRF - ORDER ENTERED - FINAL DISPOS: ***PLEASE NOTE: THIS ENTRY IS BEING MADE TO UPDATE THIS CASE TO THE PROPER STATUS PURSUANT TO COURT ORDER DATED DECEMBER 6, 2018 AND  JANUARY 10, 2019.   ...OJR TXF</t>
  </si>
  <si>
    <t>2019-01-11 15:35:00</t>
  </si>
  <si>
    <t>COMMONWEALTH PRESERVATION ALLIANCE, INC. VS DESANT</t>
  </si>
  <si>
    <t>MCILHINNEY, MICHAEL P; PECORA ESQ, JOSEPH; TONER, PAUL J</t>
  </si>
  <si>
    <t>DOMOWITCH, ALLISON L</t>
  </si>
  <si>
    <t>PRSDE - PRAEC/SETTLE DISCONTINUE END: SETTLED VIA S D &amp; E PRAECIPE FILED. (FILED ON BEHALF OF COMMONWEALTH PRESERVATION ALLIANCE INC)</t>
  </si>
  <si>
    <t>First denied and then appealed</t>
  </si>
  <si>
    <t>2022-11-14 12:01:00</t>
  </si>
  <si>
    <t>COMMONWEALTH PRESERVATION ALLIANCE, INC. VS DINGLE</t>
  </si>
  <si>
    <t>TONER, PAUL J; TURNER JR, FRANK L</t>
  </si>
  <si>
    <t>DINGLE, JANIS</t>
  </si>
  <si>
    <t>1616 PARRISH STREET</t>
  </si>
  <si>
    <t>ZRDSC - PRAECIPE TO DISCONTINUE: ORDER TO DISCONTINUE WITHOUT PREJUDICE FILED. (FILED ON BEHALF OF COMMONWEALTH PRESERVATION ALLIANCE INC)</t>
  </si>
  <si>
    <t>2022-11-30 12:10:00</t>
  </si>
  <si>
    <t>M0462 - LISTED-STAT CONF CONSERVATOR: 65-22117465 HEARING SCHEDULED FOR 01-31-23 AT 9:30 A.M. IN COURTROOM 453, CITY HALL.</t>
  </si>
  <si>
    <t>2022-11-14 12:52:00</t>
  </si>
  <si>
    <t>COMMONWEALTH PRESERVATION ALLIANCE, INC. VS JUANIT</t>
  </si>
  <si>
    <t>MCILHINNEY, MICHAEL P</t>
  </si>
  <si>
    <t>HARRIS EXECUTRIX OF EST OF ETHELRENE B MITCHELL, JUANITA C</t>
  </si>
  <si>
    <t>2926 DIAMOND STREET</t>
  </si>
  <si>
    <t>AFDVT - AFFIDAVIT OF SERVICE FILED: AFFIDAVIT OF SERVICE OF PETITION AND ORDER TO SHOW CAUSE UPON CITY OF PHILADELPHIA DEPT OF LICENSES &amp; INSPECTIONS BY PERSONAL SERVICE ON 12/23/2022 FILED. (FILED ON BEHALF OF COMMONWEALTH PRESERVATION ALLIANCE INC)</t>
  </si>
  <si>
    <t>2019-01-14 13:51:00</t>
  </si>
  <si>
    <t>COMMONWEALTH PRESERVATION ALLIANCE, INC. VS THE OR</t>
  </si>
  <si>
    <t>ORIGINAL APOSTOLIC CHURCH OF THE LORD JESUS CHRIST INC</t>
  </si>
  <si>
    <t>1512-16 N BROAD STREET</t>
  </si>
  <si>
    <t>M0378 - CORRECTION TO JUDGMENT INDEX: CORRECTION TO LOCALITY INDEX: LIS PENDENS ON THE PROPERTY LOCATED AT 1512-16 NORTH BROAD STREET IS LIFTED PRUSUANT TO COURT ORDER DATED 2/6/19. INDEX UPDATED ON 3/25/19.</t>
  </si>
  <si>
    <t>2022-02-02 15:03:00</t>
  </si>
  <si>
    <t>COPELAND VS BCM PHILADELPHIA, LLC</t>
  </si>
  <si>
    <t>COPELAND, HOLMAN</t>
  </si>
  <si>
    <t>BCM PHILADELPHIA LLC</t>
  </si>
  <si>
    <t>DEMARCO, RICHARD C</t>
  </si>
  <si>
    <t>1733 BELFIELD AVENUE</t>
  </si>
  <si>
    <t>ZR236 - NOTICE GIVEN UNDER RULE 236: NOTICE GIVEN ON 02-SEP-2022 OF ORDER ENTERED/236 NOTICE GIVEN ENTERED ON 01-SEP-2022.</t>
  </si>
  <si>
    <t>2022-12-09 16:49:00</t>
  </si>
  <si>
    <t>CORE 7 COMMUNITY DEVELOPMENT CORPORATION VS SELFMA</t>
  </si>
  <si>
    <t>CORE 7 COMMUNITY DEVELOPMENT CORPORATION</t>
  </si>
  <si>
    <t>SELFMADE INC</t>
  </si>
  <si>
    <t>1932 W ONTARIO STREET</t>
  </si>
  <si>
    <t>MTASN - MOTION ASSIGNED: 95-22122095 PET-APPT CONSERVATOR-ACT 135 ASSIGNED TO JUDGE: JUDGE, CONSERVATORSHIP . ON DATE: DECEMBER 14, 2022</t>
  </si>
  <si>
    <t>2011-11-21 16:06:00</t>
  </si>
  <si>
    <t>D'ALESSIO VS POLIDORO ETAL</t>
  </si>
  <si>
    <t>DALESSIO, GERARD</t>
  </si>
  <si>
    <t>POLIDORO, ANTHONY</t>
  </si>
  <si>
    <t>1331 S ALDER</t>
  </si>
  <si>
    <t>012467800</t>
  </si>
  <si>
    <t>ZR236 - NOTICE GIVEN UNDER RULE 236: NOTICE GIVEN ON 06-SEP-2013 OF ORDER ENTERED/236 NOTICE GIVEN ENTERED ON 05-SEP-2013.</t>
  </si>
  <si>
    <t>2021-10-06 10:41:00</t>
  </si>
  <si>
    <t>DABNEY VS LANCASTER ETAL</t>
  </si>
  <si>
    <t>DABNEY, EMORY</t>
  </si>
  <si>
    <t>BEMBRY III, ROBERT H</t>
  </si>
  <si>
    <t>LANCASTER, ZEOLA</t>
  </si>
  <si>
    <t>CARLETON, MICHAEL E; CONNOR, CRISTINA LYNN; DIETTERICK, SCOTT A; HONG, KIMBERLY J; OFLAZIAN, ALYK L; PERKISS, GARY M; WOOTERS, MEREDITH</t>
  </si>
  <si>
    <t>2320 N 50TH STREET</t>
  </si>
  <si>
    <t>PRSDE - PRAEC/SETTLE DISCONTINUE END: SETTLED VIA S D &amp; E PRAECIPE FILED. (FILED ON BEHALF OF EMORY DABNEY)</t>
  </si>
  <si>
    <t>2016-02-19 14:46:00</t>
  </si>
  <si>
    <t>DONAHUE VS FERNANDEZ ETAL</t>
  </si>
  <si>
    <t>FERNANDEZ, KWAME</t>
  </si>
  <si>
    <t>2318 ST. ALBANS STREET</t>
  </si>
  <si>
    <t>PRSDE - PRAEC/SETTLE DISCONTINUE END: SETTLED VIA S D &amp; E PRAECIPE FILED. (FILED ON BEHALF OF F.SCOTT DONAHUE)</t>
  </si>
  <si>
    <t>2014-03-18 13:06:00</t>
  </si>
  <si>
    <t>EAST PARKSIDE DEVELOPERS LLC VS POLCHE ETAL</t>
  </si>
  <si>
    <t>EAST PARKSIDE DEVELOPERS LLC</t>
  </si>
  <si>
    <t>RABINOVICH, JASON L</t>
  </si>
  <si>
    <t>POLCHE, JERMINA</t>
  </si>
  <si>
    <t>BENNETT III, FRANKLIN A; LEVY, BART E; MARTIN, MARY-KATE</t>
  </si>
  <si>
    <t>ZR236 - NOTICE GIVEN UNDER RULE 236: NOTICE GIVEN ON 11-DEC-2014 OF ORDER ENTERED - FINAL DISPOS ENTERED ON 09-DEC-2014.</t>
  </si>
  <si>
    <t>2011-04-19 12:50:00</t>
  </si>
  <si>
    <t>EHRENHALT VS MOLINA ETAL</t>
  </si>
  <si>
    <t>EHRENHALT, STEPHEN</t>
  </si>
  <si>
    <t>MOLINA, LESLIE</t>
  </si>
  <si>
    <t>3012 W STILES STREET</t>
  </si>
  <si>
    <t>Withdrawn</t>
  </si>
  <si>
    <t>2018-06-22 15:07:00</t>
  </si>
  <si>
    <t>EL JEFE PROPERTIES VS HECTOR MALDONALDO ETAL</t>
  </si>
  <si>
    <t>EL JEFE PROPERTIES</t>
  </si>
  <si>
    <t>KERRIGAN, JOSEPH P</t>
  </si>
  <si>
    <t>HECTOR MALDONALDO, HECTOR; MALDONALDO, IDALIA</t>
  </si>
  <si>
    <t>4355 MALTA STREET</t>
  </si>
  <si>
    <t>ZR236 - NOTICE GIVEN UNDER RULE 236: NOTICE GIVEN ON 25-SEP-2019 OF ORDER ENTERED - FINAL DISPOS ENTERED ON 24-SEP-2019.</t>
  </si>
  <si>
    <t>2010-12-13 14:16:00</t>
  </si>
  <si>
    <t>EXILE PROPERTIES, LLC VS STEWART</t>
  </si>
  <si>
    <t>EXILE PROPERTIES LLC</t>
  </si>
  <si>
    <t>CRAWFORD JR JR, PETER D</t>
  </si>
  <si>
    <t>STEWART, KAYE</t>
  </si>
  <si>
    <t>ROSS, GLENN M</t>
  </si>
  <si>
    <t>2128 N 16TH STREET</t>
  </si>
  <si>
    <t>DISPO - DISPOSED -  CASE CLOSED: SEE ORDER ENTERED BY TERESHKO, J. ON 4/17/12</t>
  </si>
  <si>
    <t>2016-07-15 12:29:00</t>
  </si>
  <si>
    <t>FAIRMOUNT CDC VS MENDELSOHN</t>
  </si>
  <si>
    <t>FAIRMOUNT CDC</t>
  </si>
  <si>
    <t>LEVY-TATUM, JENNIFER W</t>
  </si>
  <si>
    <t>MENDELSOHN, DAVID</t>
  </si>
  <si>
    <t>3032 CAMBRIDGE STREET</t>
  </si>
  <si>
    <t>ZRDSC - PRAECIPE TO DISCONTINUE: ORDER TO DISCONTINUE WITHOUT PREJUDICE FILED. (FILED ON BEHALF OF FAIRMOUNT CDC)</t>
  </si>
  <si>
    <t>Respondent died</t>
  </si>
  <si>
    <t>2022-08-17 17:41:00</t>
  </si>
  <si>
    <t>FAIRMOUNT CDC VS WILLIAMS</t>
  </si>
  <si>
    <t>RITTERMAN, SAMUEL H</t>
  </si>
  <si>
    <t>WILLIAMS, CHARLES; WILLIAMS, LOUELLA C.</t>
  </si>
  <si>
    <t>1332 N HOLLYWOOD</t>
  </si>
  <si>
    <t>MTASN - MOTION ASSIGNED: 91-22125391 MISCELLANEOUS MOTION/PETITION ASSIGNED TO JUDGE: JUDGE, CONSERVATORSHIP . ON DATE: JANUARY 23, 2023</t>
  </si>
  <si>
    <t>2020-07-14 15:22:00</t>
  </si>
  <si>
    <t>FAIRMOUNT COMMUNITY DEVELOPMENT CORPORATION VS SCO</t>
  </si>
  <si>
    <t>FAIRMOUNT COMMUNITY DEVELOPMENT CORPORATION</t>
  </si>
  <si>
    <t>CARR, PETER</t>
  </si>
  <si>
    <t>MOY, TYRIC; PINCKNEY, ANDREW; SCOTT, CLAUDIA; SCOTT, KEITH</t>
  </si>
  <si>
    <t>RICHARDSON, COURTNEY N</t>
  </si>
  <si>
    <t>1233 N 28TH STREET</t>
  </si>
  <si>
    <t>PRSDE - PRAEC/SETTLE DISCONTINUE END: SETTLED VIA S D &amp; E PRAECIPE FILED. (FILED ON BEHALF OF FAIRMOUNT COMMUNITY DEVELOPMENT CORPORATION)</t>
  </si>
  <si>
    <t>2020-10-29 10:55:00</t>
  </si>
  <si>
    <t>FISHTOWN KENSINGTON AREA BUSINESS IMPROVEMENT DIST</t>
  </si>
  <si>
    <t>FISHTOWN KENSINGTON AREA BUSINESS IMPROVEMENT DISTRICT; SCIOLI TURCO INC</t>
  </si>
  <si>
    <t>DONNELL, TERRI LYNN; PHILADELPHIA BROTHERHOOD RESCUE MISSION INC</t>
  </si>
  <si>
    <t>401-405 E GIRARD AVENUE</t>
  </si>
  <si>
    <t>M0462 - LISTED-STAT CONF CONSERVATOR: 72-20102572 HEARING SCHEDULED FOR 02-14-23 AT 10:30 A.M. IN COURTROOM 453, CITY HALL.</t>
  </si>
  <si>
    <t>Conservator appointed, remediated, sale approved</t>
  </si>
  <si>
    <t>2015-10-08 14:31:00</t>
  </si>
  <si>
    <t xml:space="preserve">FRANCISVILLE NEIGHBORHOOD DEVELOPMENT CORPORATION </t>
  </si>
  <si>
    <t>FRANCISVILLE NEIGHBORHOOD DEVELOPMENT CORPORATION</t>
  </si>
  <si>
    <t>MOORE, CHARLES E; MOORE, MARGARET OMETHER</t>
  </si>
  <si>
    <t>SCHAFKOPF, GARY; WEISBERG, MATTHEW B; ZWOLAK, JAMES J</t>
  </si>
  <si>
    <t>1513 CAMBRIDGE STREET</t>
  </si>
  <si>
    <t>CRTRR - CERTIFIED RECORD RECEIVED: RECORD RETURNED FROM COMMONWEALTH COURT AT 29 CD 2017</t>
  </si>
  <si>
    <t>Deemed blighted, already sold, fees awarded</t>
  </si>
  <si>
    <t>2015-10-08 14:33:00</t>
  </si>
  <si>
    <t>GBEMUDU, CHRISTOPHER</t>
  </si>
  <si>
    <t>CRAWFORD, THOMAS F</t>
  </si>
  <si>
    <t>1511 CAMBRIDGE STREET</t>
  </si>
  <si>
    <t>LISPR - RELEASE OF LIS PENDENS FILED: PRAECIPE TO RELEASE LIS PENDENS AS TO PREMISES 1511 CAMBRIDGE STREET, PHILADELPHIA FILED. (FILED ON BEHALF OF FRANCISVILLE NEIGHBORHOOD DEVELOPMENT CORPORATION)</t>
  </si>
  <si>
    <t>2016-02-10 15:57:00</t>
  </si>
  <si>
    <t>G &amp; G INVESTORS, LLC VS PHILLIPS SIMMONS REAL ESTA</t>
  </si>
  <si>
    <t>G &amp; G INVESTORS LLC</t>
  </si>
  <si>
    <t>PHILLIPS SIMMONS REAL ESTATE HOLDINGS LLC</t>
  </si>
  <si>
    <t>1262 POINT BREEZE AVENUE</t>
  </si>
  <si>
    <t>APORA - ORDER AFFIRMED BY APPELLATE CT: ORDER OF THE SUPERIOR COURT AT 2732 EDA 2016 THAT THE ORDER OF THE COURT OF COMMON PLEAS IS AFFIRMED.....4/4/18</t>
  </si>
  <si>
    <t>2016-02-10 10:57:00</t>
  </si>
  <si>
    <t>G &amp; G INVESTORS, LLC VS RUSSELL ETAL</t>
  </si>
  <si>
    <t>RUSSELL, JOHN B; RUSSELL, MARY J</t>
  </si>
  <si>
    <t>2228-30 SEARS STREET</t>
  </si>
  <si>
    <t>AFDVT - AFFIDAVIT OF SERVICE FILED: AFFIDAVIT OF SERVICE OF PLAINTIFF'S COMPLAINT UPON BY CERTIFIED MAIL ON 01/27/2017 FILED. (FILED ON BEHALF OF G &amp; G INVESTORS, LLC)</t>
  </si>
  <si>
    <t>Agreement</t>
  </si>
  <si>
    <t>2017-01-20 12:31:00</t>
  </si>
  <si>
    <t>G&amp;G INVESTORS LLC VS RUSSELL ETAL</t>
  </si>
  <si>
    <t>G&amp;G INVESTORS LLC</t>
  </si>
  <si>
    <t>POLLINS, WILLIE; STEIN, JONATHAN E; VANDERSLICE, RICHARD L</t>
  </si>
  <si>
    <t>ESTATES OF JOHN B RUSSELL AND MARY J RUSSELL; RUSSELL, ALEXANDER G; RUSSELL, DAVID B; RUSSELL, JOHN B; RUSSELL, MARY J; RUSSELL, ROBERT S</t>
  </si>
  <si>
    <t>2228 SEARS STREET</t>
  </si>
  <si>
    <t>LISPR - RELEASE OF LIS PENDENS FILED: PRAECIPE TO RELEASE LIS PENDENS AS TO PREMISES 2228 SEARS, PHILADELPHIA 2230 SEARS, PHILADELPHIA FILED. (FILED ON BEHALF OF G&amp;G INVESTORS LLC)</t>
  </si>
  <si>
    <t>2019-08-30 13:12:00</t>
  </si>
  <si>
    <t>GLOBAL GIVINGS DEVELOPMENT CORPORATION  VS CHANDLE</t>
  </si>
  <si>
    <t>GLOBAL GIVINGS DEVELOPMENT CORPORATION</t>
  </si>
  <si>
    <t>CHANDLER, CHANCE</t>
  </si>
  <si>
    <t>TAYLOR 626, WILLIAM JON HENRY</t>
  </si>
  <si>
    <t>2632 GERRITT</t>
  </si>
  <si>
    <t>M0279 - MOTION/PETITION/STIP WITHDRAWN: 92-21030192 PRAECIPE TO WITHDRAW MOTION TO ENFORCE SETTLEMENT FILED. (FILED ON BEHALF OF GLOBAL GIVINGS DEVELOPMENT CORPORATION)</t>
  </si>
  <si>
    <t>2019-07-12 17:15:00</t>
  </si>
  <si>
    <t>GLOBAL GIVINGS DEVELOPMENT CORPORATION  VS OLOSUND</t>
  </si>
  <si>
    <t>OLOSUNDE, PETER</t>
  </si>
  <si>
    <t>HAMILTON, WARREN R</t>
  </si>
  <si>
    <t>1324 S 48TH STREET</t>
  </si>
  <si>
    <t>ZR236 - NOTICE GIVEN UNDER RULE 236: NOTICE GIVEN ON 16-JUN-2021 OF ORDER ENTERED/236 NOTICE GIVEN ENTERED ON 16-JUN-2021.</t>
  </si>
  <si>
    <t>2019-07-12 16:08:00</t>
  </si>
  <si>
    <t>GLOBAL GIVINGS DEVELOPMENT CORPORATION  VS PRESBER</t>
  </si>
  <si>
    <t>PRESBERY, DAWN</t>
  </si>
  <si>
    <t>FROEHLICH, MICHAEL R</t>
  </si>
  <si>
    <t>2312 REED STREET</t>
  </si>
  <si>
    <t>ZR236 - NOTICE GIVEN UNDER RULE 236: NOTICE GIVEN ON 24-SEP-2021 OF ORDER ENTERED/236 NOTICE GIVEN ENTERED ON 24-SEP-2021.</t>
  </si>
  <si>
    <t>2019-09-17 13:42:00</t>
  </si>
  <si>
    <t>GLOBAL GIVINGS DEVELOPMENT CORPORATION  VS RC CAPI</t>
  </si>
  <si>
    <t>RC CAPITOL PARTNERS LLC</t>
  </si>
  <si>
    <t>GIBBONS ESQ, LEO M; JEAN-PIERRE 582, ISAAC J; MCKEON, MATTHEW M</t>
  </si>
  <si>
    <t>539 N 36TH STREET</t>
  </si>
  <si>
    <t>ZR236 - NOTICE GIVEN UNDER RULE 236: NOTICE GIVEN ON 08-OCT-2021 OF ORDER ENTERED - FINAL DISPOS ENTERED ON 08-OCT-2021.</t>
  </si>
  <si>
    <t>Conservator appointed, respondent complied with conditoinal relief order</t>
  </si>
  <si>
    <t>2018-05-15 12:25:00</t>
  </si>
  <si>
    <t>GLOBAL GIVINGS DEVELOPMENT CORPORATION VS ANDRII T</t>
  </si>
  <si>
    <t>ALL UNKNOWN HEIRS; ANDRII TARASOV; CAMPITELLI ESTATE OF, GUIDO; CAMPITELLI ESTATE OF, LAURA</t>
  </si>
  <si>
    <t>1708 SIGEL STREET</t>
  </si>
  <si>
    <t>PRSDE - PRAEC/SETTLE DISCONTINUE END: SETTLED VIA S D &amp; E PRAECIPE FILED. (FILED ON BEHALF OF GLOBAL GIVINGS DEVELOPMENT CORPORATION)</t>
  </si>
  <si>
    <t>2018-08-15 17:05:00</t>
  </si>
  <si>
    <t>GLOBAL GIVINGS DEVELOPMENT CORPORATION VS BEAL ETA</t>
  </si>
  <si>
    <t>BEAL, IRENE L</t>
  </si>
  <si>
    <t>PRESSLEY, RONALD J</t>
  </si>
  <si>
    <t>2737 OAKFORD STREET</t>
  </si>
  <si>
    <t>M0378 - CORRECTION TO JUDGMENT INDEX: CORRECTION TO LOCALITY INDEX: LIS PENDENS ON THE PROPERTY LOCATED AT 2737 OAKFORD STREET IS LIFTED PRUSUANT TO COURT ORDER DATED 2/25/19. INDEX UPDATED ON 3/25/19.</t>
  </si>
  <si>
    <t>2020-10-20 16:56:00</t>
  </si>
  <si>
    <t>GLOBAL GIVINGS DEVELOPMENT CORPORATION VS BIZIAIKO</t>
  </si>
  <si>
    <t>BIZIAIKO, YURII</t>
  </si>
  <si>
    <t>2042 MOORE</t>
  </si>
  <si>
    <t>ZRDSC - PRAECIPE TO DISCONTINUE: IN REFERENCE TO PRAECIPE TO WITHDRAW FILED 07/01/2021. EBM</t>
  </si>
  <si>
    <t>2018-01-29 17:06:00</t>
  </si>
  <si>
    <t>GLOBAL GIVINGS DEVELOPMENT CORPORATION VS BROWN ET</t>
  </si>
  <si>
    <t>BROWN, TRACEY STEVEN; LIEDSTRAND, CHELSEA</t>
  </si>
  <si>
    <t>FRIEDMAN, D MAX</t>
  </si>
  <si>
    <t>4528 SANSOM</t>
  </si>
  <si>
    <t>ZR236 - NOTICE GIVEN UNDER RULE 236: NOTICE GIVEN ON 23-JUL-2021 OF ORDER ENTERED - FINAL DISPOS ENTERED ON 22-JUL-2021.</t>
  </si>
  <si>
    <t>2018-08-02 11:05:00</t>
  </si>
  <si>
    <t>GLOBAL GIVINGS DEVELOPMENT CORPORATION VS CARING H</t>
  </si>
  <si>
    <t>CARING HANDS 4 YOU INC</t>
  </si>
  <si>
    <t>1315-17 S 52ND STREET</t>
  </si>
  <si>
    <t>LISPR - RELEASE OF LIS PENDENS FILED: PRAECIPE TO RELEASE LIS PENDENS AS TO PREMISES 1315-1317 S 52ND STREET, PHILADELPHIA FILED. (FILED ON BEHALF OF GLOBAL GIVINGS DEVELOPMENT CORPORATION)</t>
  </si>
  <si>
    <t>2018-07-23 12:30:00</t>
  </si>
  <si>
    <t>GLOBAL GIVINGS DEVELOPMENT CORPORATION VS DOWD ETA</t>
  </si>
  <si>
    <t>DOWD, KERRY I</t>
  </si>
  <si>
    <t>BARR, DIANE E</t>
  </si>
  <si>
    <t>4208 CHESTNUT STREET</t>
  </si>
  <si>
    <t>2018-04-17 14:59:00</t>
  </si>
  <si>
    <t>GLOBAL GIVINGS DEVELOPMENT CORPORATION VS GOINS ET</t>
  </si>
  <si>
    <t>GOINS, WINNIFRED A</t>
  </si>
  <si>
    <t>ZRDSC - PRAECIPE TO DISCONTINUE: ORDER TO DISCONTINUE WITHOUT PREJUDICE FILED. (FILED ON BEHALF OF GLOBAL GIVINGS DEVELOPMENT CORPORATION)</t>
  </si>
  <si>
    <t>2020-02-13 17:03:00</t>
  </si>
  <si>
    <t>GLOBAL GIVINGS DEVELOPMENT CORPORATION VS HARRIS E</t>
  </si>
  <si>
    <t>HARRIS, BERNESTINE</t>
  </si>
  <si>
    <t>WEISBERG, MATTHEW B</t>
  </si>
  <si>
    <t>1932 MOORE STREET</t>
  </si>
  <si>
    <t>LISPR - RELEASE OF LIS PENDENS FILED: PRAECIPE TO RELEASE LIS PENDENS AS TO PREMISES 1932 MOORE STREET, PHILADELPHIA FILED. (FILED ON BEHALF OF GLOBAL GIVINGS DEVELOPMENT CORPORATION)</t>
  </si>
  <si>
    <t>2018-06-27 17:47:00</t>
  </si>
  <si>
    <t>GLOBAL GIVINGS DEVELOPMENT CORPORATION VS HOLLOMAN</t>
  </si>
  <si>
    <t>HOLLOMAN, RENEE M</t>
  </si>
  <si>
    <t>RIGMAIDEN-DELEON, MARILYN A</t>
  </si>
  <si>
    <t>716-18 S 51ST STREET</t>
  </si>
  <si>
    <t>M0378 - CORRECTION TO JUDGMENT INDEX: CORRECTION TO LOCALITY INDEX: LIS PENDENS ON THE PROPERTY LOCATED AT 716-18 SOUTH 51ST STREET IS LIFTED PRUSUANT TO COURT ORDER DATED 1/7/19. INDEX UPDATED ON 3/25/19.</t>
  </si>
  <si>
    <t>2020-10-20 17:00:00</t>
  </si>
  <si>
    <t xml:space="preserve">GLOBAL GIVINGS DEVELOPMENT CORPORATION VS JACKSON </t>
  </si>
  <si>
    <t>JACKSON, MICHAEL STEPHEN</t>
  </si>
  <si>
    <t>JACKSON, MICHAEL S</t>
  </si>
  <si>
    <t>919 S 17TH STREET</t>
  </si>
  <si>
    <t>LISPR - RELEASE OF LIS PENDENS FILED: PRAECIPE TO RELEASE LIS PENDENS AS TO PREMISES 919 S 17TH STREET, PHILADELPHIA FILED. (FILED ON BEHALF OF GLOBAL GIVINGS DEVELOPMENT CORPORATION)</t>
  </si>
  <si>
    <t>2018-06-15 14:47:00</t>
  </si>
  <si>
    <t>GLOBAL GIVINGS DEVELOPMENT CORPORATION VS JEHOVAH-</t>
  </si>
  <si>
    <t>JEHOVAH-JIREH BAPTIST MINISTRIES INC</t>
  </si>
  <si>
    <t>2501 MASTER STREET</t>
  </si>
  <si>
    <t>M0386 - TRIAL/HEARING EXHIBITS FILED: TRIAL/EVIDENTIARY HEARING EXHIBITS/EVIDENCE FILED.</t>
  </si>
  <si>
    <t>2017-11-22 09:53:00</t>
  </si>
  <si>
    <t xml:space="preserve">GLOBAL GIVINGS DEVELOPMENT CORPORATION VS KITTLES </t>
  </si>
  <si>
    <t>STEIN, JONATHAN E; TONER, PAUL J; VANDERSLICE, RICHARD L; WATSON, DEANNA E</t>
  </si>
  <si>
    <t>KITTLES, EUGENE; WILLIS, MARY</t>
  </si>
  <si>
    <t>1404 N ETTING STREET</t>
  </si>
  <si>
    <t>M0378 - CORRECTION TO JUDGMENT INDEX: CORRECTION TO LOCALITY INDEX: LIS PENDENS VACATED PURSUANT TO COURT ORDER DATED 03/04/2019. INDEX UPDATED ON 03/06/2019</t>
  </si>
  <si>
    <t>Conservator appointed, remediated, fees awarded</t>
  </si>
  <si>
    <t>2018-04-27 10:44:00</t>
  </si>
  <si>
    <t>GLOBAL GIVINGS DEVELOPMENT CORPORATION VS MCCOY ET</t>
  </si>
  <si>
    <t>MCILHINNEY, MICHAEL P; STEIN, JONATHAN E; VANDERSLICE, RICHARD L; WATSON, DEANNA E</t>
  </si>
  <si>
    <t>MALIK, AMIN; MCCOY, MONIFA A</t>
  </si>
  <si>
    <t>DOUGHERTY, AMANDA J; HILL, WILLIAM T</t>
  </si>
  <si>
    <t>1103 S 47TH STREET</t>
  </si>
  <si>
    <t>LISPR - RELEASE OF LIS PENDENS FILED: PRAECIPE TO RELEASE LIS PENDENS AS TO PREMISES 1103 S 47TH, PHILADELPHIA FILED. (FILED ON BEHALF OF GLOBAL GIVINGS DEVELOPMENT CORPORATION)</t>
  </si>
  <si>
    <t>2018-07-27 13:50:00</t>
  </si>
  <si>
    <t>GLOBAL GIVINGS DEVELOPMENT CORPORATION VS MCKINZIE</t>
  </si>
  <si>
    <t>MCKINZIE, FLORICE</t>
  </si>
  <si>
    <t>1718 MOORE STREET</t>
  </si>
  <si>
    <t>LISPR - RELEASE OF LIS PENDENS FILED: PRAECIPE TO RELEASE LIS PENDENS AS TO PREMISES 1718 MOORE STREET FILED.</t>
  </si>
  <si>
    <t>2018-07-30 12:50:00</t>
  </si>
  <si>
    <t>GLOBAL GIVINGS DEVELOPMENT CORPORATION VS OLLIVIER</t>
  </si>
  <si>
    <t>OLLIVIERRE, RUDOLPH</t>
  </si>
  <si>
    <t>1313 S 19TH STREET</t>
  </si>
  <si>
    <t>M0378 - CORRECTION TO JUDGMENT INDEX: CORRECTION TO LOCALITY INDEX: LIS PENDENS VACATED PURSUANT TO COURT ORDER DATED 10/15/2018. INDEX UPDATED ON 10/17/2018</t>
  </si>
  <si>
    <t>2018-05-30 16:04:00</t>
  </si>
  <si>
    <t xml:space="preserve">GLOBAL GIVINGS DEVELOPMENT CORPORATION VS OVERTON </t>
  </si>
  <si>
    <t>OVERTON, FARISE</t>
  </si>
  <si>
    <t>6027 WASHINGTON AVENUE</t>
  </si>
  <si>
    <t>033107200</t>
  </si>
  <si>
    <t>M0378 - CORRECTION TO JUDGMENT INDEX: CORRECTION TO IN REM INDEX: LIS PENDENS AGAINST 6027 WASHINGTON AVENUE IS VACATED PURSUANT TO COURT ORDER DATED 8/28/19.  IN REM INDEX UPDATED ON 9/10/19.</t>
  </si>
  <si>
    <t>Deemed blighted, remediation plan agreed to, withdrawn</t>
  </si>
  <si>
    <t>2017-11-15 18:29:00</t>
  </si>
  <si>
    <t>GLOBAL GIVINGS DEVELOPMENT CORPORATION VS PB HOLDI</t>
  </si>
  <si>
    <t>PB HOLDINGS LLC</t>
  </si>
  <si>
    <t>SOBEL ESQ, CRAIG B</t>
  </si>
  <si>
    <t>2050 WILDER</t>
  </si>
  <si>
    <t>PRSDE - PRAEC/SETTLE DISCONTINUE END: SETTLED VIA S D &amp; E PRAECIPE WITHOUT PREJUDICE FILED. (FILED ON BEHALF OF GLOBAL GIVINGS DEVELOPMENT CORPORATION)</t>
  </si>
  <si>
    <t>2018-01-05 11:40:00</t>
  </si>
  <si>
    <t>GLOBAL GIVINGS DEVELOPMENT CORPORATION VS THE ESTA</t>
  </si>
  <si>
    <t>ALL UNKNOWN HEIRS; HOWARD ESTATE OF, JOHN L</t>
  </si>
  <si>
    <t>3610 SEARS STREET</t>
  </si>
  <si>
    <t>MAILR - RETURNED MAIL RECEIVED: RETURNED MAIL ON 8/16/18 AS UNDELIVERABLE AT THE ADDRESS ON FILE WITH THE COURT TO THE FOLLOWING PARTIES:  UNKNOWN HEIRS &amp; ESTATE OF JOHN L HOWARD CAUSED THESE PARTIES TO BE ENDED ON THIS DOCKET IN ERROR. ANY ORDERS AND NOTICES SENT BY THE COURT ON OR AFTER 8/16/18  WERE NOT PROCESSED FOR THESE PARTIES DUE TO THE DOCKETING ERROR.  THE PARTY HAS BEEN REACTIVATED ON THE DOCKET EFFECTIVE 10/31/18.  NMM/QA</t>
  </si>
  <si>
    <t>2018-06-07 15:56:00</t>
  </si>
  <si>
    <t>DAWN PRESBERY ADMINISTRATRIX OF THE ESTATE OF NORMAN JOHNSON; JOHNSON ESTATE OF, NORMAN</t>
  </si>
  <si>
    <t>ATSNF - ATTEMPTED SERVICE - NOT FOUND: DAWN PRESBERY ADMINISTRATRIX OF THE ESTATE OF NORMAN JOHNSON NOT FOUND ON 09/18/2018.</t>
  </si>
  <si>
    <t>2018-06-29 16:48:00</t>
  </si>
  <si>
    <t>STEIN, JONATHAN E</t>
  </si>
  <si>
    <t>ALL UNKNOWN HEIRS; BEAL ESTATE OF, IRENE L</t>
  </si>
  <si>
    <t>M0378 - CORRECTION TO JUDGMENT INDEX: CORRECTION TO LOCALITY INDEX: LIS PENDENS LIFTED PURSUANT TO COURT ORDER DATED 07/12/2018. INDEX UPDATED ON 07/18/2018</t>
  </si>
  <si>
    <t>2018-07-09 14:59:00</t>
  </si>
  <si>
    <t>GLOBAL GIVINGS DEVELOPMENT CORPORATION VS THE MILL</t>
  </si>
  <si>
    <t>BRIJLALL REALTY CORPORATION; MILLAN GROUP LLC</t>
  </si>
  <si>
    <t>BARENBAUM, EVAN; JONES, DANIEL P</t>
  </si>
  <si>
    <t>2123 MOUNTAIN STREET</t>
  </si>
  <si>
    <t>ZR236 - NOTICE GIVEN UNDER RULE 236: NOTICE GIVEN ON 25-JAN-2019 OF ORDER ENTERED/236 NOTICE GIVEN ENTERED ON 24-JAN-2019.</t>
  </si>
  <si>
    <t>2020-03-02 10:15:00</t>
  </si>
  <si>
    <t>GLOBAL GIVINGS DEVELOPMENT CORPORATION VS TILGHMAN</t>
  </si>
  <si>
    <t>M0673 - LISTED-HRNG CONSERVATOR ACT</t>
  </si>
  <si>
    <t>TILGHMAN, HERLENE V; TILGHMAN, RONALD LEO</t>
  </si>
  <si>
    <t>2058 MORRIS</t>
  </si>
  <si>
    <t>M0279 - MOTION/PETITION/STIP WITHDRAWN: 61-20030061 PRAECIPE TO WITHDRAW PET-APPT CONSERVATOR-ACT 135 FILED. (FILED ON BEHALF OF GLOBAL GIVINGS DEVELOPMENT CORPORATION)</t>
  </si>
  <si>
    <t>2018-06-07 16:07:00</t>
  </si>
  <si>
    <t>GLOBAL GIVINGS DEVELOPMENT CORPORATION VS YOUNG ET</t>
  </si>
  <si>
    <t>YOUNG, MARK A</t>
  </si>
  <si>
    <t>LEHMAN, DAVID K</t>
  </si>
  <si>
    <t>5111 WILLOWS AVENUE</t>
  </si>
  <si>
    <t>LISPR - RELEASE OF LIS PENDENS FILED: PRAECIPE TO RELEASE LIS PENDENS AS TO PREMISES FILED. (FILED ON BEHALF OF GLOBAL GIVINGS DEVELOPMENT CORPORATION)</t>
  </si>
  <si>
    <t>2017-03-23 15:52:00</t>
  </si>
  <si>
    <t>GLOBAL HOLDINGS GREATER PHILADELPHIA LLC VS PONTON</t>
  </si>
  <si>
    <t>GLOBAL HOLDINGS GREATER PHILADELPHIA LLC</t>
  </si>
  <si>
    <t>BOWEN, SARAH K; PONTON, MARLAND K</t>
  </si>
  <si>
    <t>HILL, WILLIAM T</t>
  </si>
  <si>
    <t>1512 S 22ND STREET</t>
  </si>
  <si>
    <t>LISPR - RELEASE OF LIS PENDENS FILED: PRAECIPE TO RELEASE LIS PENDENS AS TO PREMISES 1512 S 22ND STREET, PHILADELPHIA FILED. (FILED ON BEHALF OF GLOBAL HOLDINGS GREATER PHILADELPHIA LLC)</t>
  </si>
  <si>
    <t>2017-03-23 16:33:00</t>
  </si>
  <si>
    <t>GLOBAL HOLDINGS GREATER PHILADELPHIA LLC VS TOOMER</t>
  </si>
  <si>
    <t>JOHNSON ADMINISTRATOR OF THE ESTATE OF FRANK A TOOMER, MASAI; TOOMER, MARY F</t>
  </si>
  <si>
    <t>1625 S 22ND STREET</t>
  </si>
  <si>
    <t>ZRDSC - PRAECIPE TO DISCONTINUE: ORDER TO DISCONTINUE WITHOUT PREJUDICE FILED. (FILED ON BEHALF OF GLOBAL HOLDINGS GREATER PHILADELPHIA LLC)</t>
  </si>
  <si>
    <t>2017-11-15 11:47:00</t>
  </si>
  <si>
    <t>GLOBAL HOLDINGS GREATER PHILADELPHIA LLC VS WILSON</t>
  </si>
  <si>
    <t>WILSON, PARRISH</t>
  </si>
  <si>
    <t>2235 FERNON</t>
  </si>
  <si>
    <t>ZR236 - NOTICE GIVEN UNDER RULE 236: NOTICE GIVEN ON 26-FEB-2018 OF SETTLED PRIOR TO ASSGN TRL JUD ENTERED ON 23-FEB-2018.</t>
  </si>
  <si>
    <t>2018-01-05 16:41:00</t>
  </si>
  <si>
    <t>GLOBAL HOLDINGS GREATER PHILADELPHIA VS PONTON ETA</t>
  </si>
  <si>
    <t>GLOBAL HOLDINGS GREATER PHILADELPHIA</t>
  </si>
  <si>
    <t>PONTON, MARLAND K</t>
  </si>
  <si>
    <t>2231 PIERCE STREET</t>
  </si>
  <si>
    <t>M0378 - CORRECTION TO JUDGMENT INDEX: CORRECTION TO LOCALITY INDEX: LIS PENDENS VACATED PURSUANT TO COURT ORDER DATED 04/24/2018. INDEX UPDATED ON 04/30/2018</t>
  </si>
  <si>
    <t>2017-06-19 13:40:00</t>
  </si>
  <si>
    <t>GLOBAL HOLDINGS GREATER PHILADELPHIA, LLC VS HERRI</t>
  </si>
  <si>
    <t>CULBREATH ESTATE OF CHARLES J CULBREATH ADMIN, IDA M; HERRING, TESHADA</t>
  </si>
  <si>
    <t>JENKINS, LISA REO</t>
  </si>
  <si>
    <t>2135 FERNON</t>
  </si>
  <si>
    <t>ZR236 - NOTICE GIVEN UNDER RULE 236: NOTICE GIVEN ON 20-NOV-2018 OF ORDER ENTERED - FINAL DISPOS ENTERED ON 19-NOV-2018.</t>
  </si>
  <si>
    <t>2020-09-14 08:23:00</t>
  </si>
  <si>
    <t>GLOBAL HOLDINGS OF GREATER PHILADELPHIA VS MT. SHA</t>
  </si>
  <si>
    <t>GLOBAL HOLDINGS OF GREATER PHILADELPHIA</t>
  </si>
  <si>
    <t>MT SHARON BAPTIST CHURCH OF PHILADELPHIA</t>
  </si>
  <si>
    <t>CONSOLE ESQ, JOSEPH J; LASSITER, DUANE L</t>
  </si>
  <si>
    <t>1609 W GIRARD AVENUE</t>
  </si>
  <si>
    <t>MMUPD - MOTION ASSIGNMENT UPDATED: 83-20091283 REASSIGNED TO JUDGE JUDGE, CONSERVATORSHIP ON 22-FEB-22</t>
  </si>
  <si>
    <t>Active, stayed</t>
  </si>
  <si>
    <t>2021-09-13 16:44:00</t>
  </si>
  <si>
    <t>GLOBAL HOLDINGS OF GREATER PHILADELPHIA VS WMMV LL</t>
  </si>
  <si>
    <t>JDORF - JUDGMENT-COURT ORDER FINAL DIS</t>
  </si>
  <si>
    <t>GLOBAL HOLDINGS OF PHILADELPHIA</t>
  </si>
  <si>
    <t>WMMV LLC; XIAOHONG ZHOU, MARILYN</t>
  </si>
  <si>
    <t>COLE, ROBERT E</t>
  </si>
  <si>
    <t>1753 S TAYLOR STREET</t>
  </si>
  <si>
    <t>JDORF - JUDGMENT-COURT ORDER FINAL DIS: PRAECIPE FOR ENTRY OF JUDGMENT FILED. 
CERTIFICATE OF SERVICE FILED. NOTICE UNDER RULE 236. 
JUDGMENT IS ENTERED IN FAVOR OF GLOBAL HOLDINGS OF PHILADELPHIA AND AGAINST WMMV LLCI N THE AMOUNT OF $12,640.53 ON THE COURT ORDER DATED 08/11/2022.</t>
  </si>
  <si>
    <t>Deemed blighted, remediated by property owner, fees awarded to petitioner</t>
  </si>
  <si>
    <t>2014-03-18 13:17:00</t>
  </si>
  <si>
    <t>GLY INVESTMENTS LLC VS PRESTON STREET PROPERTIES,</t>
  </si>
  <si>
    <t>GLY INVESTMENTS LLC</t>
  </si>
  <si>
    <t>PRESTON STREET PROPERTIES LLC</t>
  </si>
  <si>
    <t>DINATALE, LORENZO</t>
  </si>
  <si>
    <t>528-34 N PRESTON STREET</t>
  </si>
  <si>
    <t>061195500</t>
  </si>
  <si>
    <t>DISPO - DISPOSED -  CASE CLOSED: 91-14032391 PRAECIPE TO WITHDRAW PET-APPT CONSERVATOR-ACT 135 FILED. (FILED ON BEHALF OF GLY INVESTMENTS LLC)</t>
  </si>
  <si>
    <t>2014-04-28 17:26:00</t>
  </si>
  <si>
    <t>GLY INVESTMENTS LLC VS TEAGLE ETAL</t>
  </si>
  <si>
    <t>TEAGLE, ROBERT</t>
  </si>
  <si>
    <t>4047 GREEN STREET</t>
  </si>
  <si>
    <t>061042300</t>
  </si>
  <si>
    <t>ZR236 - NOTICE GIVEN UNDER RULE 236: NOTICE GIVEN ON 19-MAR-2015 OF ORDER ENTERED - FINAL DISPOS ENTERED ON 18-MAR-2015.</t>
  </si>
  <si>
    <t>2015-03-11 14:35:00</t>
  </si>
  <si>
    <t>GLY INVESTMENTS, LLC VS ANSARI ETAL</t>
  </si>
  <si>
    <t>ANSARI, MAHMUD</t>
  </si>
  <si>
    <t>3927 BRANDYWINE STREET</t>
  </si>
  <si>
    <t>ZR236 - NOTICE GIVEN UNDER RULE 236: NOTICE GIVEN ON 08-JUN-2015 OF ORDER ENTERED/236 NOTICE GIVEN ENTERED ON 05-JUN-2015.</t>
  </si>
  <si>
    <t>2015-07-08 14:15:00</t>
  </si>
  <si>
    <t>GLY INVESTMENTS, LLC VS ESTATE OF FANNIE TEAGLE ET</t>
  </si>
  <si>
    <t>TEAGLE ESTATE OF, FANNIE</t>
  </si>
  <si>
    <t>KOELSCH 273, YEKATERINA; OLSON, JON-MICHAEL; ZWOLAK, JAMES J</t>
  </si>
  <si>
    <t>ZR236 - NOTICE GIVEN UNDER RULE 236: NOTICE GIVEN ON 25-OCT-2016 OF ORDER ENTERED - FINAL DISPOS ENTERED ON 25-OCT-2016.</t>
  </si>
  <si>
    <t xml:space="preserve">Conservator appointed, sold by owner, conservatorship terminated </t>
  </si>
  <si>
    <t>2014-04-04 16:22:00</t>
  </si>
  <si>
    <t>GORDON VS RHANEY</t>
  </si>
  <si>
    <t>GORDON, JAMILLAH</t>
  </si>
  <si>
    <t>BURNS JR, DONALD</t>
  </si>
  <si>
    <t>RHANEY, ANTHONY</t>
  </si>
  <si>
    <t>1938 68TH STREET</t>
  </si>
  <si>
    <t>ZR236 - NOTICE GIVEN UNDER RULE 236: NOTICE GIVEN ON 25-APR-2014 OF ORDER ENTERED - FINAL DISPOS ENTERED ON 25-APR-2014.</t>
  </si>
  <si>
    <t>2014-07-14 11:55:00</t>
  </si>
  <si>
    <t>ZR236 - NOTICE GIVEN UNDER RULE 236: NOTICE GIVEN ON 11-FEB-2016 OF ORDER ENTERED - FINAL DISPOS ENTERED ON 09-FEB-2016.</t>
  </si>
  <si>
    <t>2017-04-16 15:17:00</t>
  </si>
  <si>
    <t>GREAT RETURNS, LLC VS KELLAM ETAL</t>
  </si>
  <si>
    <t>GREAT RETURNS LLC</t>
  </si>
  <si>
    <t>KELLAM JR., RALPH</t>
  </si>
  <si>
    <t>2236 WATKINS STREET</t>
  </si>
  <si>
    <t>LISPR - RELEASE OF LIS PENDENS FILED: PRAECIPE TO RELEASE LIS PENDENS AS TO PREMISES 2236 WATKINS, PHILADELPHIA FILED. (FILED ON BEHALF OF GREAT RETURNS, LLC)</t>
  </si>
  <si>
    <t>2017-06-12 15:15:00</t>
  </si>
  <si>
    <t>GREATER PHILADELPHIA CONSERVATORY COMMUNITY DEVELO</t>
  </si>
  <si>
    <t>GREATER PHILADELPHIA CONSERVATORY COMMUNITY DEVELOPMENT CORP</t>
  </si>
  <si>
    <t>COLAVITA, PASQUALE J</t>
  </si>
  <si>
    <t>MCCROSSON, JAMES F; MCCROSSON, MARY ANN</t>
  </si>
  <si>
    <t>2654 S BOUVIER STREET</t>
  </si>
  <si>
    <t>ESCRO - MONIES DEPOSITED/PROTHY ESCROW: $15,807.35 PAID BY CHECK TO OJR.</t>
  </si>
  <si>
    <t>2018-03-23 15:53:00</t>
  </si>
  <si>
    <t>GREENE STREET FRIENDS SCHOOL VS BATEMAN ETAL</t>
  </si>
  <si>
    <t>GREENE STREET FRIENDS SCHOOL</t>
  </si>
  <si>
    <t>CAMERON 316, ROGER P</t>
  </si>
  <si>
    <t>BATEMAN, MARGARET DOROTHY; BATEMAN, MARIA RAPHAELA; BATEMAN, MATTHEW HAROLD; BATEMAN, MAURICE WILLIAM; BATEMAN, MICHAEL PETER</t>
  </si>
  <si>
    <t>BARTH ESQ, ALEXANDER F; BOTTENFIELD, ANTHONY M; KEENHEEL, MARK S</t>
  </si>
  <si>
    <t>55 W SCHOOL HOUSE LANE</t>
  </si>
  <si>
    <t>APORA - ORDER AFFIRMED BY APPELLATE CT: IN RE: 750 CD 2020 THE ORDER OF THE COURT OF COMMON PLEAS OF PHILADELPHIA COUNTY DATED JANUARY 14, 2020 IS HEREBY AFFIRMED.    9-9-21</t>
  </si>
  <si>
    <t>2016-01-28 16:06:00</t>
  </si>
  <si>
    <t>HAMPTON VS CARPENTER</t>
  </si>
  <si>
    <t>HAMPTON, TERRELL R</t>
  </si>
  <si>
    <t>CARPENTER, MARY</t>
  </si>
  <si>
    <t>5904 OSAGE AVE</t>
  </si>
  <si>
    <t>032062300</t>
  </si>
  <si>
    <t>LISPR - RELEASE OF LIS PENDENS FILED: PRAECIPE TO RELEASE LIS PENDENS AS TO PREMISES 5904 OSAGE AVE PHILADELPHIA PA 19139 PER COURT ORDER DATED 02/22/2016</t>
  </si>
  <si>
    <t>2015-03-10 11:03:00</t>
  </si>
  <si>
    <t>HAPPYNEST HOLDINGS NONPROFIT COOP VS WRIGHT ETAL</t>
  </si>
  <si>
    <t>HAPPYNEST HOLDINGS NONPROFIT COOP</t>
  </si>
  <si>
    <t>WRIGHT, ERIC T</t>
  </si>
  <si>
    <t>1300 N 04TH STREET</t>
  </si>
  <si>
    <t>PRSDE - PRAEC/SETTLE DISCONTINUE END: SETTLED VIA S D &amp; E PRAECIPE FILED. (FILED ON BEHALF OF HAPPYNEST HOLDINGS NONPROFIT COOP)</t>
  </si>
  <si>
    <t>2022-09-15 18:39:00</t>
  </si>
  <si>
    <t>HARDIMON PROPERTY GROUP, INC. VS EVTV INVESTMENT C</t>
  </si>
  <si>
    <t>HARDIMON PROPERTY GROUP INC</t>
  </si>
  <si>
    <t>PECORA ESQ, JOSEPH</t>
  </si>
  <si>
    <t>EVTV INVESTMENT COMPANY</t>
  </si>
  <si>
    <t>6317 BAYNTON STREET</t>
  </si>
  <si>
    <t>ZR236 - NOTICE GIVEN UNDER RULE 236: NOTICE GIVEN ON 19-JAN-2023 OF ORDER ENTERED/236 NOTICE GIVEN ENTERED ON 18-JAN-2023.</t>
  </si>
  <si>
    <t>2019-04-04 10:12:00</t>
  </si>
  <si>
    <t>HAS INVESTMENT PARTNERS, LLC VS DUREN ETAL</t>
  </si>
  <si>
    <t>HAS INVESTMENT PARTNERS LLC</t>
  </si>
  <si>
    <t>DUREN, FANE M</t>
  </si>
  <si>
    <t>4606 WOODLAND</t>
  </si>
  <si>
    <t>PRSDE - PRAEC/SETTLE DISCONTINUE END: SETTLED VIA S D &amp; E PRAECIPE FILED. (FILED ON BEHALF OF HAS INVESTMENT PARTNERS LLC)</t>
  </si>
  <si>
    <t>2022-05-16 13:27:00</t>
  </si>
  <si>
    <t>HAVERFORD SQUARE - BELMONT, LLC ETAL VS VERNER</t>
  </si>
  <si>
    <t>41 BROWN LLC; HAVERFORD SQUARE - BELMONT LLC</t>
  </si>
  <si>
    <t>VERNER, HERBERT</t>
  </si>
  <si>
    <t>1221 BELMONT AVENUE</t>
  </si>
  <si>
    <t>ATSNF - ATTEMPTED SERVICE - NOT FOUND: CALVIN J. VERNER NOT FOUND ON 11/23/2022.</t>
  </si>
  <si>
    <t>2015-03-11 11:08:00</t>
  </si>
  <si>
    <t>HELPING HANDS PHILADELPHIA VS PEREZ ETAL</t>
  </si>
  <si>
    <t>HELPING HANDS PHILADELPHIA</t>
  </si>
  <si>
    <t>PEREZ, JOHN R</t>
  </si>
  <si>
    <t>KOELSCH 273, YEKATERINA</t>
  </si>
  <si>
    <t>176 MASTER STREET</t>
  </si>
  <si>
    <t>ENAPP - ENTRY OF APPEARANCE: ENTRY OF APPEARANCE OF YEKATERINA KOELSCH FILED. (FILED ON BEHALF OF JAMES ZWOLAK AND CITY OF PHILADELPHIA)</t>
  </si>
  <si>
    <t>Unknown</t>
  </si>
  <si>
    <t>2016-08-24 14:27:00</t>
  </si>
  <si>
    <t>HILL VS HAZEL ETAL</t>
  </si>
  <si>
    <t>HILL, LEONARD</t>
  </si>
  <si>
    <t>PICCIRILLI, GAETANO P; PLATT, MONICA C</t>
  </si>
  <si>
    <t>HAZEL, BEULAH; HAZEL, CHARLES; UNKNOWN HEIRS OF BEULAH HAZEL; UNKNOWN HEIRS OF CHARLES HAZEL</t>
  </si>
  <si>
    <t>1332 N 17TH STREET</t>
  </si>
  <si>
    <t>ZRDSC - PRAECIPE TO DISCONTINUE: ORDER TO DISCONTINUE WITHOUT PREJUDICE FILED. (FILED ON BEHALF OF LEONARD HILL)</t>
  </si>
  <si>
    <t>2017-06-26 18:48:00</t>
  </si>
  <si>
    <t>HILL VS OLIVER ETAL</t>
  </si>
  <si>
    <t>1332 NORTH SEVENTEENTH STREET LLC; HAZEL, UNKNOWN HEIRS; MOORE, DENNITA; OLIVER, CHARLES P; OLIVER, COREY; OLIVER JR., HERBERT; ORTIZ, HAFIZ</t>
  </si>
  <si>
    <t>DIGIORGIO, JOHN S; QUINN JD, ANTHONY B</t>
  </si>
  <si>
    <t>MAILR - RETURNED MAIL RECEIVED: RETURNED MAIL ORDER DATED 08/19/19 AS UNDELIVERABLE AT THE ADDRESS ON FILE WITH THE COURT TO THE FOLLOWING PARTY: HAFIZ ORTIZ.</t>
  </si>
  <si>
    <t>Conservator appointed, later vacated and discontinued</t>
  </si>
  <si>
    <t>2016-10-12 16:32:00</t>
  </si>
  <si>
    <t>HOLLY STREET INVESTMENTS VS STEVENS ETAL</t>
  </si>
  <si>
    <t>HOLLY STREET INVESTMENTS</t>
  </si>
  <si>
    <t>STEVENS, DARLENE</t>
  </si>
  <si>
    <t>769 S 20TH</t>
  </si>
  <si>
    <t>M0378 - CORRECTION TO JUDGMENT INDEX: CORRECTION TO LOCALITY INDEX: LIS PENDENS WITHDRAWN PURSUANT TO COURT ORDER DATED 04/25/2017. INDEX UPDATED ON 05/01/2017</t>
  </si>
  <si>
    <t>2014-02-27 16:14:00</t>
  </si>
  <si>
    <t>HOPE VS HATTEN ETAL</t>
  </si>
  <si>
    <t>HOPE, JENNIFER</t>
  </si>
  <si>
    <t>MONROE 410, MATTHEW C</t>
  </si>
  <si>
    <t>HATTEN, ADORA; HATTEN, AVALON; HATTEN, GERALD C</t>
  </si>
  <si>
    <t>STANWOOD, JONATHAN H</t>
  </si>
  <si>
    <t>2027 FITZWATER ST.</t>
  </si>
  <si>
    <t>ZR236 - NOTICE GIVEN UNDER RULE 236: NOTICE GIVEN ON 24-JUN-2014 OF ORDER ENTERED - FINAL DISPOS ENTERED ON 19-JUN-2014.</t>
  </si>
  <si>
    <t>2019-07-12 12:36:00</t>
  </si>
  <si>
    <t>HUFF-LABOVITZ VS MONAHAN ETAL</t>
  </si>
  <si>
    <t>HUFF-LABOVITZ, GEORGEANNE</t>
  </si>
  <si>
    <t>MONAHAN, EMMETT P</t>
  </si>
  <si>
    <t>WOODS, GERARD J</t>
  </si>
  <si>
    <t>7042 TULIP STREET</t>
  </si>
  <si>
    <t>LISPR - RELEASE OF LIS PENDENS FILED: PRAECIPE TO RELEASE LIS PENDENS AS TO PREMISES 7042 TULIP STREET, PHILADELPHIA FILED. (FILED ON BEHALF OF GEORGEANNE HUFF-LABOVITZ)</t>
  </si>
  <si>
    <t>2009-10-26 15:06:00</t>
  </si>
  <si>
    <t>IN RE A CONSERVATORSHIP PROCEEDING IN REM BY THE G</t>
  </si>
  <si>
    <t>ZIMOLONG, WALTER S</t>
  </si>
  <si>
    <t>APORA - ORDER AFFIRMED BY APPELLATE CT: ORDER OF THE COMMONWEALT COURT AT 2385 CD 2008 THAT THE ORDER OF THE COURT OF COMMON PLEAS IS AFFIRMED.......4/30/10  RECORD RETURNED.</t>
  </si>
  <si>
    <t>petition for 50 properties</t>
  </si>
  <si>
    <t>2014-06-13 17:59:00</t>
  </si>
  <si>
    <t>IN THE MIXX LLC VS SMITH ETAL</t>
  </si>
  <si>
    <t>IN THE MIXX LLC</t>
  </si>
  <si>
    <t>SMITH, JAMES E</t>
  </si>
  <si>
    <t>AUERBACH, DANIEL J; MARTIN, MARY-KATE</t>
  </si>
  <si>
    <t>1526 RIDGE AVENUE</t>
  </si>
  <si>
    <t>LISPR - RELEASE OF LIS PENDENS FILED: PRAECIPE TO RELEASE LIS PENDENS AS TO PREMISES 1526 RIDGE AVENUE, PHILADELPHIA FILED. (FILED ON BEHALF OF IN THE MIXX LLC)</t>
  </si>
  <si>
    <t>2014-06-14 14:51:00</t>
  </si>
  <si>
    <t>1528 RIDGE AVENUE</t>
  </si>
  <si>
    <t>2017-01-09 10:31:00</t>
  </si>
  <si>
    <t>IN THE MIXX LLC VS WOMELSDORF ETAL</t>
  </si>
  <si>
    <t>ALL UNKNOWN HEIRS; WOMELSDORF, ALBERT H; WOMELSDORF, CLARA J</t>
  </si>
  <si>
    <t>PEARLSTEIN, MARK S</t>
  </si>
  <si>
    <t>2055 AMBER STREET</t>
  </si>
  <si>
    <t>APORA - ORDER AFFIRMED BY APPELLATE CT: 3284 EDA 2017    ORDER AFFIRMED.  JUDGMENT ENTERED.</t>
  </si>
  <si>
    <t>2017-09-14 15:54:00</t>
  </si>
  <si>
    <t>IN THE MIXX, LLC VS BAEHR ETAL</t>
  </si>
  <si>
    <t>ALL UNKNOWN HEIRS; BAEHR ESTATE OF, MARIE; BAEHR, ROBERT</t>
  </si>
  <si>
    <t>2554 COLLINS STREET</t>
  </si>
  <si>
    <t>LISPR - RELEASE OF LIS PENDENS FILED: PRAECIPE TO RELEASE LIS PENDENS AS TO PREMISES 2554 COLLINS STREET, PHILADELPHIA 2545 FRANKFORD AVENUE , PHILADELPHIA FILED. (FILED ON BEHALF OF IN THE MIXX, LLC)</t>
  </si>
  <si>
    <t>2018-01-29 18:35:00</t>
  </si>
  <si>
    <t>IN THE MIXX, LLC VS SANTIAGO ETAL</t>
  </si>
  <si>
    <t>SANTIAGO, MIGUEL A; SANTIAGO, NORIS</t>
  </si>
  <si>
    <t>PEARL, JAMES L; SOBEL, JONATHAN J</t>
  </si>
  <si>
    <t>1601 MOUNT VERNON STREET</t>
  </si>
  <si>
    <t>M0452 - TRIAL/HEARING EXHIBIT LIST</t>
  </si>
  <si>
    <t>2014-08-11 14:12:00</t>
  </si>
  <si>
    <t>INNOVA REDEVELOPMENT, L.L.C  VS INMAN ETAL</t>
  </si>
  <si>
    <t>INNOVA REDEVELOPMENT LLC</t>
  </si>
  <si>
    <t>INMAN, ANN; INMAN, DAYONA; INMAN JR, RODDERICK</t>
  </si>
  <si>
    <t>VANDERMARK, JEREMIAH J</t>
  </si>
  <si>
    <t>1612 S 17TH STREET</t>
  </si>
  <si>
    <t>ORDRF - ORDER ENTERED - FINAL DISPOS: SEE ORDER ISSUED ON 10/26/2015 BY JUDGE NEW...   JPE/CAO</t>
  </si>
  <si>
    <t>Conservator appointed, fees paid</t>
  </si>
  <si>
    <t>2016-04-20 16:55:00</t>
  </si>
  <si>
    <t>INNOVA SERVICES CORPORATION VS DANIEL ETAL</t>
  </si>
  <si>
    <t>INNOVA SERVICES CORPORATION</t>
  </si>
  <si>
    <t>SATIQUE, DANIEL J</t>
  </si>
  <si>
    <t>KLYASHTORNY, NATALIE; NOCHUMSON, ALAN</t>
  </si>
  <si>
    <t>1524 S COLORADO ST</t>
  </si>
  <si>
    <t>ZRDSC - PRAECIPE TO DISCONTINUE: ORDER TO DISCONTINUE WITHOUT PREJUDICE FILED. (FILED ON BEHALF OF INNOVA SERVICES CORPORATION)</t>
  </si>
  <si>
    <t>2018-01-04 10:04:00</t>
  </si>
  <si>
    <t>INNOVA SERVICES CORPORATION VS DU ETAL</t>
  </si>
  <si>
    <t>DU, EVON N</t>
  </si>
  <si>
    <t>JASKOWIAK, DAVID A</t>
  </si>
  <si>
    <t>1511 S CHADWICK STREET</t>
  </si>
  <si>
    <t>ZR236 - NOTICE GIVEN UNDER RULE 236: NOTICE GIVEN ON 18-MAY-2018 OF ORDER ENTERED - FINAL DISPOS ENTERED ON 18-MAY-2018.</t>
  </si>
  <si>
    <t>Deemed blighted, remediation plan agreed to, conservatorship terminated</t>
  </si>
  <si>
    <t>2016-05-19 11:37:00</t>
  </si>
  <si>
    <t>INNOVA SERVICES CORPORATION VS JONES ETAL</t>
  </si>
  <si>
    <t>JONES, LEON</t>
  </si>
  <si>
    <t>RUBIN, DAVID N</t>
  </si>
  <si>
    <t>1515 S CHADWICK ST</t>
  </si>
  <si>
    <t>ZR236 - NOTICE GIVEN UNDER RULE 236: NOTICE GIVEN ON 22-SEP-2016 OF ORDER ENTERED - FINAL DISPOS ENTERED ON 21-SEP-2016.</t>
  </si>
  <si>
    <t>2016-08-05 13:36:00</t>
  </si>
  <si>
    <t>INNOVA SERVICES CORPORATION VS MCNEIL ETAL</t>
  </si>
  <si>
    <t>MCNEIL, LINDA C; PRATT III, JAMES E</t>
  </si>
  <si>
    <t>1513 S CHADWICK</t>
  </si>
  <si>
    <t>PRSDE - PRAEC/SETTLE DISCONTINUE END: SETTLED VIA S D &amp; E PRAECIPE FILED. (FILED ON BEHALF OF INNOVA SERVICES CORPORATION)</t>
  </si>
  <si>
    <t>2016-04-20 16:31:00</t>
  </si>
  <si>
    <t>INNOVA SERVICES CORPORATION VS SHIPMAN ETAL</t>
  </si>
  <si>
    <t>FAITH UNITED CHURCH OF THE LIVING GOD; ROSS, JOSEPH; SHIPMAN, BLANCHE</t>
  </si>
  <si>
    <t>ARRIGO, MARC A</t>
  </si>
  <si>
    <t>1506 S COLORADO ST</t>
  </si>
  <si>
    <t>MAILR - RETURNED MAIL RECEIVED: RETURNED MAIL ORDER DATED 08/30/19 AS UNDELIVERABLE AT THE ADDRESS ON FILE WITH THE COURT TO THE FOLLOWING PARTY: LYNV FUNDING LLC.</t>
  </si>
  <si>
    <t>Deemed blighted, remediation plan agreed to, fees awarded, conservatorship terminated</t>
  </si>
  <si>
    <t>2016-04-20 17:12:00</t>
  </si>
  <si>
    <t>INNOVA SERVICES CORPORATION VS UPSHUR ETAL</t>
  </si>
  <si>
    <t>UPSHUR, MAURICE</t>
  </si>
  <si>
    <t>DICKS, SHERRI</t>
  </si>
  <si>
    <t>1538 S BOUVIER ST</t>
  </si>
  <si>
    <t>ZR236 - NOTICE GIVEN UNDER RULE 236: NOTICE GIVEN ON 28-SEP-2020 OF ORDER ENTERED - FINAL DISPOS ENTERED ON 25-SEP-2020.</t>
  </si>
  <si>
    <t>2015-08-12 16:45:00</t>
  </si>
  <si>
    <t>IS ALLEGHENY, LLC  VS C.O.L.T. COALITION POWER  ET</t>
  </si>
  <si>
    <t>IS ALLEGHENY LLC</t>
  </si>
  <si>
    <t>COLT COALITION POWER; THROUGH THE WORD MINISTRY</t>
  </si>
  <si>
    <t>1607-09 W ALLEGHENY AVENUE</t>
  </si>
  <si>
    <t>ZR236 - NOTICE GIVEN UNDER RULE 236: NOTICE GIVEN ON 17-AUG-2015 OF ORDER ENTERED - FINAL DISPOS ENTERED ON 17-AUG-2015.</t>
  </si>
  <si>
    <t>2015-08-12 16:20:00</t>
  </si>
  <si>
    <t>IS ALLEGHENY, LLC  VS YELVERTON  ETAL</t>
  </si>
  <si>
    <t>YELVERTON, AARON A</t>
  </si>
  <si>
    <t>1601 W ALLEGHENY AVENUE</t>
  </si>
  <si>
    <t>ZR236 - NOTICE GIVEN UNDER RULE 236: NOTICE GIVEN ON 18-AUG-2015 OF ORDER ENTERED - FINAL DISPOS ENTERED ON 14-AUG-2015.</t>
  </si>
  <si>
    <t>2015-10-07 10:18:00</t>
  </si>
  <si>
    <t>YELVERTON, KARIMA</t>
  </si>
  <si>
    <t>LISPR - RELEASE OF LIS PENDENS FILED: PRAECIPE TO RELEASE LIS PENDENS AS TO PREMISES 1601 W ALLEGHENY AVENUE, PHILADELPHIA FILED. (FILED ON BEHALF OF IS ALLEGHENY, LLC)</t>
  </si>
  <si>
    <t>2015-10-07 16:43:00</t>
  </si>
  <si>
    <t>IS ALLEGHENY, LLC VS C.O.L.T COALITION ETAL</t>
  </si>
  <si>
    <t>COLT COALITION; POWER THROUGH THE WORD MINISTRY</t>
  </si>
  <si>
    <t>ROMINE, DAVID E</t>
  </si>
  <si>
    <t>ZR236 - NOTICE GIVEN UNDER RULE 236: NOTICE GIVEN ON 02-SEP-2016 OF ORDER ENTERED/236 NOTICE GIVEN ENTERED ON 02-SEP-2016.</t>
  </si>
  <si>
    <t>2016-08-15 17:39:00</t>
  </si>
  <si>
    <t>IS PINE LLC VS OSBOURNE</t>
  </si>
  <si>
    <t>IS PINE LLC</t>
  </si>
  <si>
    <t>OSBOURNE, DANE</t>
  </si>
  <si>
    <t>KARPF ESQ, JACK F</t>
  </si>
  <si>
    <t>5035 BALTIMORE AVENUE</t>
  </si>
  <si>
    <t>ZRDSC - PRAECIPE TO DISCONTINUE: ORDER TO DISCONTINUE WITHOUT PREJUDICE FILED. (FILED ON BEHALF OF IS PINE LLC)</t>
  </si>
  <si>
    <t>2016-08-15 17:48:00</t>
  </si>
  <si>
    <t>IS PINE LLC VS UDDOH</t>
  </si>
  <si>
    <t>BINDER, BRET M; LEVY-TATUM, JENNIFER W</t>
  </si>
  <si>
    <t>UDDOH, MAURICE</t>
  </si>
  <si>
    <t>620 S 52ND STREET</t>
  </si>
  <si>
    <t>M0378 - CORRECTION TO JUDGMENT INDEX: CORRECTION TO LOCALITY INDEX: LIS PENDENS VACATED PURSUANT TO COURT ORDER DATED 01/05/2017. LIS PENDENS REMOVED FROM THE INDEX ON 01/18/2017</t>
  </si>
  <si>
    <t>2016-08-19 17:01:00</t>
  </si>
  <si>
    <t>IS PINE, LLC VS CASELLE</t>
  </si>
  <si>
    <t>CASELLE, MICHELLE</t>
  </si>
  <si>
    <t>JOSEPH, ARNOLD C</t>
  </si>
  <si>
    <t>5044 BALTIMORE AVENUE</t>
  </si>
  <si>
    <t>AFDVT - AFFIDAVIT OF SERVICE FILED: AFFIDAVIT OF SERVICE OF DISCONTINUANCE AND RELEASE OF LIS PENDENS UPON ARNOLD C JOSEPH BY FIRST CLASS REGULAR MAIL ON 10/25/2016 FILED. (FILED ON BEHALF OF IS PINE, LLC)</t>
  </si>
  <si>
    <t>2016-08-15 12:11:00</t>
  </si>
  <si>
    <t>IS PINE, LLC VS FOSTER</t>
  </si>
  <si>
    <t>FOSTER, BARBARA J</t>
  </si>
  <si>
    <t>5039 LARCHWOOD AVENUE</t>
  </si>
  <si>
    <t>LISPR - RELEASE OF LIS PENDENS FILED: PRAECIPE TO RELEASE LIS PENDENS AS TO PREMISES 5039 LARCHWOOD AVENUE, PHILADELPHIA 5039 LARCHWOOD AVENUE, PHILADELPHIA FILED. (FILED ON BEHALF OF IS PINE, LLC)</t>
  </si>
  <si>
    <t>2016-08-15 18:39:00</t>
  </si>
  <si>
    <t>IS PINE, LLC VS IKEDIONWU</t>
  </si>
  <si>
    <t>IKEDIONWU, REGINA</t>
  </si>
  <si>
    <t>622 S 52ND STREET</t>
  </si>
  <si>
    <t>ZRDSC - PRAECIPE TO DISCONTINUE: ORDER TO DISCONTINUE WITHOUT PREJUDICE FILED. (FILED ON BEHALF OF IS PINE, LLC)</t>
  </si>
  <si>
    <t>2016-09-22 12:39:00</t>
  </si>
  <si>
    <t>IS3 1234, LLC VS CHANGES, LLC ETAL</t>
  </si>
  <si>
    <t>IS3 1234 LLC</t>
  </si>
  <si>
    <t>CHANGES LLC</t>
  </si>
  <si>
    <t>TAYLOR, JEROME A</t>
  </si>
  <si>
    <t>1214 N 29TH STREET</t>
  </si>
  <si>
    <t>ZR236 - NOTICE GIVEN UNDER RULE 236: NOTICE GIVEN ON 22-NOV-2016 OF ORDER ENTERED - FINAL DISPOS ENTERED ON 22-NOV-2016.</t>
  </si>
  <si>
    <t>2016-03-21 13:40:00</t>
  </si>
  <si>
    <t>IS3 1234, LLC VS LANE</t>
  </si>
  <si>
    <t>BINDER, BRET M; CAMERON 316, ROGER P; LEVY-TATUM, JENNIFER W</t>
  </si>
  <si>
    <t>LANE JR, LONNIE</t>
  </si>
  <si>
    <t>FARRELL, J MICHAEL</t>
  </si>
  <si>
    <t>2906 W FLORA STREET</t>
  </si>
  <si>
    <t>ZR236 - NOTICE GIVEN UNDER RULE 236: NOTICE GIVEN ON 17-SEP-2018 OF ORDER ENTERED - FINAL DISPOS ENTERED ON 14-SEP-2018.</t>
  </si>
  <si>
    <t>Conservator appointed, remediated, sold, fees ordered</t>
  </si>
  <si>
    <t>2016-03-21 14:06:00</t>
  </si>
  <si>
    <t>IS3 1234, LLC VS MDDANIEL</t>
  </si>
  <si>
    <t>MCDANIEL, KAREN</t>
  </si>
  <si>
    <t>2936 W FLORA STREET</t>
  </si>
  <si>
    <t>ZR236 - NOTICE GIVEN UNDER RULE 236: NOTICE GIVEN ON 01-JUN-2016 OF ORDER ENTERED - FINAL DISPOS ENTERED ON 31-MAY-2016.</t>
  </si>
  <si>
    <t>2016-03-21 13:48:00</t>
  </si>
  <si>
    <t>IS3 1234, LLC VS WILLIAMS</t>
  </si>
  <si>
    <t>WILLIAMS, MICHAEL P</t>
  </si>
  <si>
    <t>2911 W FLORA STREET</t>
  </si>
  <si>
    <t>ZR236 - NOTICE GIVEN UNDER RULE 236: NOTICE GIVEN ON 16-MAY-2018 OF ORDER ENTERED - FINAL DISPOS ENTERED ON 15-MAY-2018.</t>
  </si>
  <si>
    <t>2016-03-21 13:57:00</t>
  </si>
  <si>
    <t>IS3 1234, LLC VS WRIGHT</t>
  </si>
  <si>
    <t>WRIGHT, GODFREY</t>
  </si>
  <si>
    <t>2934 W FLORA STREET</t>
  </si>
  <si>
    <t>ZRDSC - PRAECIPE TO DISCONTINUE: ORDER TO DISCONTINUE WITHOUT PREJUDICE FILED. (FILED ON BEHALF OF IS3 1234, LLC)
ENTRY OF APPEARANCE FILED ON BEHALF OF IS3 1234, LLC.</t>
  </si>
  <si>
    <t>2014-11-05 13:28:00</t>
  </si>
  <si>
    <t>ISLAM VS RHANEY</t>
  </si>
  <si>
    <t>ISLAM, MU'MIN</t>
  </si>
  <si>
    <t>ZR236 - NOTICE GIVEN UNDER RULE 236: NOTICE GIVEN ON 19-NOV-2014 OF ORDER ENTERED - FINAL DISPOS ENTERED ON 17-NOV-2014.</t>
  </si>
  <si>
    <t>2017-05-26 12:09:00</t>
  </si>
  <si>
    <t>ISLAMIC CULTURAL PRESERVATION AND INFORMATION COUN</t>
  </si>
  <si>
    <t>ISLAMIC CULTURAL PRESERVATION AND INFORMATION COUNCIL</t>
  </si>
  <si>
    <t>BURNS, JARED T; SCHWEDER II, JOHN L</t>
  </si>
  <si>
    <t>KOHL, DENA DUBIN; LAW, MICHELLE NISSENBAUM; NISSENBAUM, ROBERT; NISSENBAUM, SCOTT; THOMAS, SHANA NISSENBAUM</t>
  </si>
  <si>
    <t>4239 LANCASTER AVE</t>
  </si>
  <si>
    <t>LISPR - RELEASE OF LIS PENDENS FILED: PRAECIPE TO RELEASE LIS PENDENS AS TO PREMISES 4239 LANCASTER AVENUE, PHILADELPHIA FILED. (FILED ON BEHALF OF ISLAMIC CULTURAL PRESERVATION AND INFORMATION COUNCIL)</t>
  </si>
  <si>
    <t>2016-10-06 10:13:00</t>
  </si>
  <si>
    <t xml:space="preserve">JAMES P. THOMAS VS IMOGENE M. LAHNEMAN, EXECUTRIX </t>
  </si>
  <si>
    <t>THOMAS, JAMES P</t>
  </si>
  <si>
    <t>IMOGENE M. LAHNEMAN, EXECUTRIX OF ESTATE OF T.LAHNEMAN</t>
  </si>
  <si>
    <t>6244 WISSAHICKON AVENUE</t>
  </si>
  <si>
    <t>PRSDE - PRAEC/SETTLE DISCONTINUE END: SETTLED VIA S D &amp; E PRAECIPE FILED. (FILED ON BEHALF OF JAMES P. THOMAS)</t>
  </si>
  <si>
    <t>2014-01-03 21:07:00</t>
  </si>
  <si>
    <t>JENNIFER VS BROWN ETAL</t>
  </si>
  <si>
    <t>JENNIFER, HOPE</t>
  </si>
  <si>
    <t>BROWN, PRESTON</t>
  </si>
  <si>
    <t>2025 W FITZWATER STREET</t>
  </si>
  <si>
    <t>ZRDSC - PRAECIPE TO DISCONTINUE: ORDER TO DISCONTINUE WITHOUT PREJUDICE FILED. (FILED ON BEHALF OF HOPE JENNIFER)</t>
  </si>
  <si>
    <t>2014-07-30 21:07:00</t>
  </si>
  <si>
    <t>JOSHUA VS SIMMONS ETAL</t>
  </si>
  <si>
    <t>JOSHUA, MATHEW E</t>
  </si>
  <si>
    <t>SIMMONS, JAMES E</t>
  </si>
  <si>
    <t>1616 BROWN STREET</t>
  </si>
  <si>
    <t>ZR236 - NOTICE GIVEN UNDER RULE 236: NOTICE GIVEN ON 09-JAN-2015 OF ORDER ENTERED - FINAL DISPOS ENTERED ON 09-JAN-2015.</t>
  </si>
  <si>
    <t>2017-05-11 11:56:00</t>
  </si>
  <si>
    <t>JPA HOLDINGS LLC  VS PUGH ETAL</t>
  </si>
  <si>
    <t>JPA HOLDINGS LLC</t>
  </si>
  <si>
    <t>PUGH, CAROLYN D; PUGH, LESTER G</t>
  </si>
  <si>
    <t>LEVY, BART E</t>
  </si>
  <si>
    <t>1117 MONTROSE</t>
  </si>
  <si>
    <t>021037000</t>
  </si>
  <si>
    <t>ZR236 - NOTICE GIVEN UNDER RULE 236: NOTICE GIVEN ON 28-NOV-2017 OF ORDER ENTERED - FINAL DISPOS ENTERED ON 17-NOV-2017.</t>
  </si>
  <si>
    <t>2021-04-30 14:01:00</t>
  </si>
  <si>
    <t>JPA HOLDINGS VS BRYANT ETAL</t>
  </si>
  <si>
    <t>JPA HOLDINGS</t>
  </si>
  <si>
    <t>BRYANT, BERNICE</t>
  </si>
  <si>
    <t>MURPHY, SEAN</t>
  </si>
  <si>
    <t>1000 S 17TH STREET</t>
  </si>
  <si>
    <t xml:space="preserve"> 87113595</t>
  </si>
  <si>
    <t>ZR236 - NOTICE GIVEN UNDER RULE 236: NOTICE GIVEN ON 06-JUL-2021 OF ORDER ENTERED - FINAL DISPOS ENTERED ON 03-JUL-2021.</t>
  </si>
  <si>
    <t>2019-04-18 16:15:00</t>
  </si>
  <si>
    <t>JPA HOLDINGS, LLC  VS PERSON ETAL</t>
  </si>
  <si>
    <t>PERSON, CHARLES; PERSON, EDITH</t>
  </si>
  <si>
    <t>MAFFUCCI, WILLIAM J</t>
  </si>
  <si>
    <t>1517 CARPENTER</t>
  </si>
  <si>
    <t>M0279 - MOTION/PETITION/STIP WITHDRAWN: 42-19042442 PRAECIPE TO WITHDRAW PET-APPT CONSERVATOR-ACT 135 FILED. (FILED ON BEHALF OF JPA HOLDINGS LLC)</t>
  </si>
  <si>
    <t>2021-12-30 18:31:00</t>
  </si>
  <si>
    <t>JPA HOLDINGS, LLC VS EARL PROPERTIES, LLC ETAL</t>
  </si>
  <si>
    <t>EARL PROPERTIES LLC</t>
  </si>
  <si>
    <t>ROTHMAN, SCOTT M</t>
  </si>
  <si>
    <t>2026 CARPENTER STREET</t>
  </si>
  <si>
    <t>PRSDE - PRAEC/SETTLE DISCONTINUE END: SETTLED VIA S D &amp; E PRAECIPE FILED. (FILED ON BEHALF OF JPA HOLDINGS LLC)</t>
  </si>
  <si>
    <t>2016-01-14 13:32:00</t>
  </si>
  <si>
    <t>JPA HOLDINGS, LLC VS MORGAN ETAL</t>
  </si>
  <si>
    <t>BOMBA ESTATE OF, JOHN L; BOMBA, THELMA; MORGAN, CONSTANCE</t>
  </si>
  <si>
    <t>1743 ANNIN</t>
  </si>
  <si>
    <t>LISPR - RELEASE OF LIS PENDENS FILED: PRAECIPE TO RELEASE LIS PENDENS AS TO PREMISES 1743 ANNIN STREET, PHILADELPHIA FILED. (FILED ON BEHALF OF JPA HOLDINGS, LLC)</t>
  </si>
  <si>
    <t>2021-06-23 17:12:00</t>
  </si>
  <si>
    <t>JREIJE VS BROWNE ETAL</t>
  </si>
  <si>
    <t>JREIJE, ANTHONY</t>
  </si>
  <si>
    <t>BROWNE, FREDERICK A</t>
  </si>
  <si>
    <t>WALKER, JOHN</t>
  </si>
  <si>
    <t>714 S 49TH STREET</t>
  </si>
  <si>
    <t>PRSDE - PRAEC/SETTLE DISCONTINUE END: SETTLED VIA S D &amp; E PRAECIPE FILED. (FILED ON BEHALF OF ANTHONY JREIJE)</t>
  </si>
  <si>
    <t>2019-04-30 14:33:00</t>
  </si>
  <si>
    <t>JUNK PROPERTIES, LLC VS VARGAS ETAL</t>
  </si>
  <si>
    <t>JUNK PROPERTIES LLC</t>
  </si>
  <si>
    <t>VARGAS, MARVIN</t>
  </si>
  <si>
    <t>5216-18 CHESTER AVENUE</t>
  </si>
  <si>
    <t>MAILR - RETURNED MAIL RECEIVED: RETURNED MAIL ORDER DATED 05/07/21 AS UNDELIVERABLE AT THE ADDRESS ON FILE WITH THE COURT TO THE FOLLOWING PARTY: RODGER G WILLIAMS.</t>
  </si>
  <si>
    <t>Deemed blighted via agreement and respondent complied with conditoinal relief order, fees awarded</t>
  </si>
  <si>
    <t>2022-05-11 16:35:00</t>
  </si>
  <si>
    <t>KELLY VS THE ESTATE OF EDMUND WERWINSKI ETAL</t>
  </si>
  <si>
    <t>KELLY, KEVIN</t>
  </si>
  <si>
    <t>ALL UNKNOWN HEIRS; WERWINSKI ESTATE OF, EDMUND</t>
  </si>
  <si>
    <t>2530 E MONMOUTH STREET</t>
  </si>
  <si>
    <t>M0462 - LISTED-STAT CONF CONSERVATOR: 75-22052275   HEARING SCHEDULED FOR 2/3/23 AT 9:30 IN 453 PER JUDGE'S RULE ISSUED 12/16/22</t>
  </si>
  <si>
    <t>2015-01-08 15:11:00</t>
  </si>
  <si>
    <t>KING VS CITY OF PHILADELPHIA</t>
  </si>
  <si>
    <t>KING, TONY DPHAX</t>
  </si>
  <si>
    <t>CITY OF PHILADELPHIA</t>
  </si>
  <si>
    <t>KUZMA, LESIA C</t>
  </si>
  <si>
    <t>1418 S GRAYS FERRY AVENUE</t>
  </si>
  <si>
    <t>ZR236 - NOTICE GIVEN UNDER RULE 236: NOTICE GIVEN ON 24-APR-2015 OF ORDER ENTERED - FINAL DISPOS ENTERED ON 15-APR-2015.</t>
  </si>
  <si>
    <t>2010-09-29 14:35:00</t>
  </si>
  <si>
    <t>KING VS JONES</t>
  </si>
  <si>
    <t>KING JR, TONY DPHAX</t>
  </si>
  <si>
    <t>WISE, COREN J</t>
  </si>
  <si>
    <t>JONES, JOHN</t>
  </si>
  <si>
    <t>KRISCH, DAVID M</t>
  </si>
  <si>
    <t>1346 S 46 STREET</t>
  </si>
  <si>
    <t>2020-07-23 14:38:00</t>
  </si>
  <si>
    <t>KRAMER VS COLDING ETAL</t>
  </si>
  <si>
    <t>KRAMER, KENNETH</t>
  </si>
  <si>
    <t>COLDING, ERDIS A</t>
  </si>
  <si>
    <t>PAGE SR., SHAWN K; SCOTT, NIGEL S</t>
  </si>
  <si>
    <t>3843 HAMILTON</t>
  </si>
  <si>
    <t>M0462 - LISTED-STAT CONF CONSERVATOR: 97-20071997 HEARING SCHEDULED FOR 02-14-23 AT 2:30 P.M. IN COURTROOM 453, CITY HALL.</t>
  </si>
  <si>
    <t>Active, deemed blighted, conditional relief awarded, respondant remediating</t>
  </si>
  <si>
    <t>2016-12-27 17:51:00</t>
  </si>
  <si>
    <t>KREATE INVESTMENTS LLC VS SAN DIEGO REALTY CORP ET</t>
  </si>
  <si>
    <t>KREATE INVESTMENTS LLC</t>
  </si>
  <si>
    <t>SAN DIEGO REALTY CORPORATION</t>
  </si>
  <si>
    <t>CIARD III, ALBERT A; SIEDMAN, DANIEL S</t>
  </si>
  <si>
    <t>1641 N 02ND STREET</t>
  </si>
  <si>
    <t>LISPR - RELEASE OF LIS PENDENS FILED: PRAECIPE TO RELEASE LIS PENDENS AS TO PREMISES 1641 N 2ND STREET, PHILADELPHIA 1643 N 2ND STREET, PHILADELPHIA 1645 N 2ND STREET, PHILADELPHIA 180 CECIL B MOORE AVENUE, PHILADELPHIA FILED. (FILED ON BEHALF OF KREATE INVESTMENTS LLC)</t>
  </si>
  <si>
    <t>2017-07-21 13:46:00</t>
  </si>
  <si>
    <t>KROPP VS VOONG ETAL</t>
  </si>
  <si>
    <t>KROPP, THOMAS</t>
  </si>
  <si>
    <t>VOONG, SENG</t>
  </si>
  <si>
    <t>1928 GERRITT STREET</t>
  </si>
  <si>
    <t>M0378 - CORRECTION TO JUDGMENT INDEX: CORRECTION TO LOCALITY INDEX: LIS PENDENS REMOVED PURSUANT TO COURT ORDER DATED 02/06/2018</t>
  </si>
  <si>
    <t>Conservator appointed, respondent complied with conditoinal relief order, fees awarded</t>
  </si>
  <si>
    <t>2017-03-29 15:05:00</t>
  </si>
  <si>
    <t>KTS PROPERTIES I LLC VS HENRY ETAL</t>
  </si>
  <si>
    <t>KTS PROPERTIES I LLC</t>
  </si>
  <si>
    <t>ANDERSON, COLVILLE ANTHONY; HENRY, PATRICE</t>
  </si>
  <si>
    <t>MCGARRITY, JAMES P</t>
  </si>
  <si>
    <t>818 S 51ST STREET</t>
  </si>
  <si>
    <t>ZR236 - NOTICE GIVEN UNDER RULE 236: NOTICE GIVEN ON 28-JUN-2018 OF ORDER ENTERED/236 NOTICE GIVEN ENTERED ON 27-JUN-2018.</t>
  </si>
  <si>
    <t>2015-04-14 14:09:00</t>
  </si>
  <si>
    <t>LETTER VS THE CHURCH OF THE HOLY CHURCH OF JESUS C</t>
  </si>
  <si>
    <t>LETTER, BENJAMIN</t>
  </si>
  <si>
    <t>CHURCH OF THE HOLY CHURCH OF JESUS CHRIST THE SON OF GO</t>
  </si>
  <si>
    <t>1538 RIDGE AVENUE</t>
  </si>
  <si>
    <t>AFDVT - AFFIDAVIT OF SERVICE FILED: AFFIDAVIT OF SERVICE OF PETITION AND ORDER UPON ZAVON HARRIS BY PERSONAL SERVICE ON 07/25/2015 FILED.</t>
  </si>
  <si>
    <t>2015-04-24 12:12:00</t>
  </si>
  <si>
    <t>PRSDE - PRAEC/SETTLE DISCONTINUE END: SETTLED VIA S D &amp; E PRAECIPE FILED. (FILED ON BEHALF OF BENJAMIN LETTER)</t>
  </si>
  <si>
    <t>2012-03-15 08:26:00</t>
  </si>
  <si>
    <t>LEUZZI VS GREEN</t>
  </si>
  <si>
    <t>LEUZZI, STEVEN</t>
  </si>
  <si>
    <t>GREEN, IRENE</t>
  </si>
  <si>
    <t>2130 FERNON</t>
  </si>
  <si>
    <t>PRSDE - PRAEC/SETTLE DISCONTINUE END: SETTLED VIA S D &amp; E PRAECIPE FILED. (FILED ON BEHALF OF STEVEN LEUZZI)</t>
  </si>
  <si>
    <t>2013-05-20 11:38:00</t>
  </si>
  <si>
    <t>LEVY VS UNIVERSAL HOMES CORPORATION ETAL</t>
  </si>
  <si>
    <t>LEVY, JUAN D</t>
  </si>
  <si>
    <t>UNIVERSAL HOMES CORPORATION</t>
  </si>
  <si>
    <t>ISLAM, MUMIN; MCELHATTON, DANIEL P; MOSHINSKI, DEBRA A; REUTER, LEONARD F</t>
  </si>
  <si>
    <t>1524-34 SOUTH STREET</t>
  </si>
  <si>
    <t>ZRDSC - PRAECIPE TO DISCONTINUE: ORDER TO DISCONTINUE WITHOUT PREJUDICE FILED. (FILED ON BEHALF OF JUAN D LEVY)</t>
  </si>
  <si>
    <t>2012-03-05 19:35:00</t>
  </si>
  <si>
    <t>LIDIAK VS RANTAZZO ETAL</t>
  </si>
  <si>
    <t>LIDIAK, TIMOTHY</t>
  </si>
  <si>
    <t>RANTAZZO, RASARIO; RANTAZZO, VINCENZO</t>
  </si>
  <si>
    <t>1314 SIGEL STREET</t>
  </si>
  <si>
    <t>LISPR - RELEASE OF LIS PENDENS FILED: PRAECIPE TO RELEASE LIS PENDENS AS TO PREMISES 1314 SIGEL STREET, PHILADELPHIA FILED. (FILED ON BEHALF OF TIMOTHY LIDIAK)</t>
  </si>
  <si>
    <t>2020-05-29 16:01:00</t>
  </si>
  <si>
    <t>MARINAKOS VS TUCKER ETAL</t>
  </si>
  <si>
    <t>MARINAKOS, PLATO</t>
  </si>
  <si>
    <t>AMAZAN, CLEMENTA; KLYASHTORNY, NATALIE; MCILHINNEY, MICHAEL P; NOCHUMSON, ALAN; TONER, PAUL J</t>
  </si>
  <si>
    <t>ZR236 - NOTICE GIVEN UNDER RULE 236: NOTICE GIVEN ON 23-MAR-2021 OF OPINION FILED/236 NOTICE GIVEN ENTERED ON 20-MAR-2021.</t>
  </si>
  <si>
    <t>2016-04-05 15:45:00</t>
  </si>
  <si>
    <t>MATHEW VS MILLS ETAL</t>
  </si>
  <si>
    <t>MATHEW, JOSHUA E</t>
  </si>
  <si>
    <t>MILLS, ALBERTA C</t>
  </si>
  <si>
    <t>812-814 N 16TH</t>
  </si>
  <si>
    <t>LISPR - RELEASE OF LIS PENDENS FILED: PRAECIPE TO RELEASE LIS PENDENS AS TO PREMISES 812 N 16TH STREET, PHILADELPHIA 814 N 16TH STREET, PHILADELPHIA FILED. (FILED ON BEHALF OF JOSHUA E MATHEW)</t>
  </si>
  <si>
    <t>2015-03-07 13:50:00</t>
  </si>
  <si>
    <t>MATHEW VS SAFI NAZLOU ETAL</t>
  </si>
  <si>
    <t>MATHEW, JOSHUA</t>
  </si>
  <si>
    <t>SAFI NAZLOU, FARROKH</t>
  </si>
  <si>
    <t>KOELSCH 273, YEKATERINA; MARQUEZ, ENRIQUE; PERRY, ROGER F; SCAGGS, DAVID J</t>
  </si>
  <si>
    <t>1629 WALLACE STREET</t>
  </si>
  <si>
    <t>084085500</t>
  </si>
  <si>
    <t>PRSDE - PRAEC/SETTLE DISCONTINUE END: SETTLED VIA S D &amp; E PRAECIPE FILED. (FILED ON BEHALF OF JOSHUA MATHEW)</t>
  </si>
  <si>
    <t>2015-08-20 12:41:00</t>
  </si>
  <si>
    <t>MATHEW VS SIMMONS ETAL</t>
  </si>
  <si>
    <t>MCPHERSON, SHELIA; SIMMONS, JAMES E</t>
  </si>
  <si>
    <t>LISPR - RELEASE OF LIS PENDENS FILED: PRAECIPE TO RELEASE LIS PENDENS AS TO PREMISES 1616 BROWN STREET, PHILADELPHIA FILED. (FILED ON BEHALF OF JOSHUA E MATHEW)</t>
  </si>
  <si>
    <t>2013-03-14 21:00:00</t>
  </si>
  <si>
    <t>MATHEW VS UNITY HOUSING AND DEVELOPMENT CORPORATIO</t>
  </si>
  <si>
    <t>UNITY HOUSING AND DEVELOPMENT CORPORATION</t>
  </si>
  <si>
    <t>1510 BROWN STREET</t>
  </si>
  <si>
    <t>PRSDE - PRAEC/SETTLE DISCONTINUE END: SETTLED VIA S D &amp; E PRAECIPE FILED. (FILED ON BEHALF OF JOSHUA E MATHEW)</t>
  </si>
  <si>
    <t>2019-04-30 14:37:00</t>
  </si>
  <si>
    <t>MAYFAIR BUSINESS IMPROVEMENT VS QCSIF ONE LLC ETAL</t>
  </si>
  <si>
    <t>MAYFAIR BUSINESS IMPROVEMENT DISTRICT</t>
  </si>
  <si>
    <t>QCSIF ONE LLC; QCSI ONE LLC</t>
  </si>
  <si>
    <t>6401 FRANKFORD AVENUE</t>
  </si>
  <si>
    <t>LISPR - RELEASE OF LIS PENDENS FILED: PRAECIPE TO RELEASE LIS PENDENS AS TO PREMISES 6401 FRANKFORD, PHILADELPHIA FILED. (FILED ON BEHALF OF MAYFAIR BUSINESS IMPROVEMENT DISTRICT)</t>
  </si>
  <si>
    <t>2013-08-07 21:49:00</t>
  </si>
  <si>
    <t>MAYFAIR COMMUNITY CORP VS CHADWICK ETAL</t>
  </si>
  <si>
    <t>MAYFAIR COMMUNITY DEVELOPMENT CORPORATION; SCIOLI TURCO INC</t>
  </si>
  <si>
    <t>CHADWICK, EILEEN</t>
  </si>
  <si>
    <t>3446 RYAN AVENUE</t>
  </si>
  <si>
    <t>MTHRS - MOTION HEARING SCHEDULED</t>
  </si>
  <si>
    <t>Conservator appointed, remediated, sale approved, fees ordered</t>
  </si>
  <si>
    <t>2015-06-20 11:40:00</t>
  </si>
  <si>
    <t>MAYFAIR COMMUNITY DEVELOPMENT CORPORATION VS ESTAT</t>
  </si>
  <si>
    <t>MAYFAIR COMMUNITY DEVELOPMENT CORPORATION</t>
  </si>
  <si>
    <t>MAGGINIS ESTATE OF, ELIZABETH P</t>
  </si>
  <si>
    <t>3318 BLEIGH AVENUE</t>
  </si>
  <si>
    <t>2017-06-01 13:02:00</t>
  </si>
  <si>
    <t>MONREAL VS ONWARDS INCORPORATED ETAL</t>
  </si>
  <si>
    <t>MONREAL, DANIEL</t>
  </si>
  <si>
    <t>ONWARDS INC</t>
  </si>
  <si>
    <t>809 W LEHIGH AVENUE</t>
  </si>
  <si>
    <t>LISPR - RELEASE OF LIS PENDENS FILED: PRAECIPE TO RELEASE LIS PENDENS AS TO PREMISES 809 W LEHIGH AVENUE, PHILADELPHIA FILED. (FILED ON BEHALF OF DANIEL MONREAL)</t>
  </si>
  <si>
    <t>2016-03-07 10:20:00</t>
  </si>
  <si>
    <t>MORITZ VS MCNAIR ETAL</t>
  </si>
  <si>
    <t>MORITZ, RUSSELL</t>
  </si>
  <si>
    <t>MCNAIR, SHERFON</t>
  </si>
  <si>
    <t>BOLDEN, STEPHEN R; LIPUMA, MICHAEL D</t>
  </si>
  <si>
    <t>538 S 51ST ST</t>
  </si>
  <si>
    <t>APDSM - APPEAL DISMISSED/APPELLAT CT: AT 1746 EDA 2016.......1/6/17  PER CURIAM</t>
  </si>
  <si>
    <t>2016-03-07 10:57:00</t>
  </si>
  <si>
    <t>MORITZ VS RICHARDS ETAL</t>
  </si>
  <si>
    <t>RICHARDS, CELESTE T</t>
  </si>
  <si>
    <t>BARENBAUM, EVAN</t>
  </si>
  <si>
    <t>5152 CEDAR AVE</t>
  </si>
  <si>
    <t>CLOEC - OTHER EVENT CANCELLED</t>
  </si>
  <si>
    <t>2017-01-17 11:33:00</t>
  </si>
  <si>
    <t>MORITZ VS WILLIAMS ETAL</t>
  </si>
  <si>
    <t>WILLIAMS, MARSHALL L</t>
  </si>
  <si>
    <t>4939 CHESTNUT</t>
  </si>
  <si>
    <t>ZR236 - NOTICE GIVEN UNDER RULE 236: NOTICE GIVEN ON 11-SEP-2017 OF ORDER ENTERED - FINAL DISPOS ENTERED ON 08-SEP-2017.</t>
  </si>
  <si>
    <t>2022-12-06 12:57:00</t>
  </si>
  <si>
    <t>MT AIRY CDC VS ESTATE OF DEBORAH J. GOODE ETAL</t>
  </si>
  <si>
    <t>MT AIRY CDC</t>
  </si>
  <si>
    <t>GOODE ESTATE OF, DEBORAH J; GOODE, JOHN</t>
  </si>
  <si>
    <t>428 E HAINES STREET</t>
  </si>
  <si>
    <t>MTASN - MOTION ASSIGNED: 74-22121374 PET-APPT CONSERVATOR-ACT 135 ASSIGNED TO JUDGE: JUDGE, CONSERVATORSHIP . ON DATE: DECEMBER 08, 2022</t>
  </si>
  <si>
    <t>2016-11-03 13:21:00</t>
  </si>
  <si>
    <t>MT. AIRY USA VS ALLEN, TRUSTEE ETAL</t>
  </si>
  <si>
    <t>MT. AIRY USA</t>
  </si>
  <si>
    <t>ALLEN TRUSTEE, IRENE; BECKETT, EVELYN B; BRADLEY, JACQUELINE V; BROWN, MARCUS</t>
  </si>
  <si>
    <t>141 E GORGAS LANE</t>
  </si>
  <si>
    <t>ZRDSC - PRAECIPE TO DISCONTINUE: ORDER TO DISCONTINUE WITHOUT PREJUDICE FILED. (FILED ON BEHALF OF MT. AIRY USA)</t>
  </si>
  <si>
    <t>2017-01-31 17:31:00</t>
  </si>
  <si>
    <t>MT. AIRY USA VS BOUNASSISI ETAL</t>
  </si>
  <si>
    <t>BOUNASSISI, ALEX B; BOUNASSISI, ANITA</t>
  </si>
  <si>
    <t>FURLONG, PAUL J</t>
  </si>
  <si>
    <t>5118 NEWHALL STREET</t>
  </si>
  <si>
    <t>ZR236 - NOTICE GIVEN UNDER RULE 236: NOTICE GIVEN ON 19-APR-2018 OF ORDER ENTERED - FINAL DISPOS ENTERED ON 18-APR-2018.</t>
  </si>
  <si>
    <t>Deemed blighted, remediation plan agreed to, fees awarded</t>
  </si>
  <si>
    <t>2017-05-22 13:49:00</t>
  </si>
  <si>
    <t>MT. AIRY USA VS MAYNARD ETAL</t>
  </si>
  <si>
    <t>FUREY, NORA M; MAYNARD, MAURICE J</t>
  </si>
  <si>
    <t>142 W ALLENS LANE</t>
  </si>
  <si>
    <t>092076005</t>
  </si>
  <si>
    <t>LISPR - RELEASE OF LIS PENDENS FILED: PRAECIPE TO RELEASE LIS PENDENS AS TO PREMISES 142 W ALLENS LANE, PHILADELPHIA FILED. (FILED ON BEHALF OF MT. AIRY USA)</t>
  </si>
  <si>
    <t>2016-08-08 18:32:00</t>
  </si>
  <si>
    <t>MT. AIRY USA VS METAL GREEN, INC.</t>
  </si>
  <si>
    <t>METAL GREEN INC</t>
  </si>
  <si>
    <t>MILLER, ANDREW L</t>
  </si>
  <si>
    <t>6800 QUINCY STREET</t>
  </si>
  <si>
    <t>ZR236 - NOTICE GIVEN UNDER RULE 236: NOTICE GIVEN ON 24-OCT-2018 OF ORDER ENTERED/236 NOTICE GIVEN ENTERED ON 23-OCT-2018.</t>
  </si>
  <si>
    <t>2016-08-08 17:06:00</t>
  </si>
  <si>
    <t>MT. AIRY USA VS REID ETAL</t>
  </si>
  <si>
    <t>CAMERON 316, ROGER P; LEVY-TATUM, JENNIFER W</t>
  </si>
  <si>
    <t>REID, EVELYN LEVY</t>
  </si>
  <si>
    <t>118 E PHIL ELLENA STREET</t>
  </si>
  <si>
    <t>ZR236 - NOTICE GIVEN UNDER RULE 236: NOTICE GIVEN ON 09-OCT-2018 OF ORDER ENTERED/236 NOTICE GIVEN ENTERED ON 05-OCT-2018.</t>
  </si>
  <si>
    <t>Deemed blighted, remediation plan agreed to</t>
  </si>
  <si>
    <t>2017-01-31 18:02:00</t>
  </si>
  <si>
    <t>MT. AIRY USA VS ROSS ETAL</t>
  </si>
  <si>
    <t>BINDER, BRET M</t>
  </si>
  <si>
    <t>ROSS, ELGLINA</t>
  </si>
  <si>
    <t>129 E POMONA STREET</t>
  </si>
  <si>
    <t>2017-01-31 17:48:00</t>
  </si>
  <si>
    <t>MT. AIRY USA VS TRACY ETAL</t>
  </si>
  <si>
    <t>BINDER, BRET M; CAMERON 316, ROGER P</t>
  </si>
  <si>
    <t>TRACY, ANITA T; TRACY, DAVID L</t>
  </si>
  <si>
    <t>5116 NEWHALL STREET</t>
  </si>
  <si>
    <t>ORDMN - COURT ORDERED PAYOUT OF ESCROW: CHECK# 009017 IN THE AMOUNT OF $40,000.00 WAS DISBURSED TO BRET M BINDER</t>
  </si>
  <si>
    <t>2016-08-08 17:43:00</t>
  </si>
  <si>
    <t>MT. AIRY USA VS WELLS ETAL</t>
  </si>
  <si>
    <t>WELLS, LAWRENCE C; WELLS, OVELLA</t>
  </si>
  <si>
    <t>KEENHEEL, MARK S; SAILER, STEVEN H</t>
  </si>
  <si>
    <t>45 W UPSAL STREET</t>
  </si>
  <si>
    <t>MAILR - RETURNED MAIL RECEIVED: RETURNED MAIL ORDER DATED 05/16/19 AS UNDELIVERABLE AT THE ADDRESS ON FILE WITH THE COURT TO THE FOLLOWING PARTY: LAWRENCE C WELLS.</t>
  </si>
  <si>
    <t>2016-11-03 14:09:00</t>
  </si>
  <si>
    <t>MT. AIRY USA VS WOOD ETAL</t>
  </si>
  <si>
    <t>WOOD, MARGARET D</t>
  </si>
  <si>
    <t>JOHNSON, THOMAS F</t>
  </si>
  <si>
    <t>108 W ALLENS LANE</t>
  </si>
  <si>
    <t>092075100</t>
  </si>
  <si>
    <t>LISPR - RELEASE OF LIS PENDENS FILED: PRAECIPE TO RELEASE LIS PENDENS AS TO PREMISES 108 W ALLENS LANE, PHILADELPHIA FILED. (FILED ON BEHALF OF MT. AIRY USA)</t>
  </si>
  <si>
    <t>Deemed blighted, remediation plan agreed to, fees awarded via agreement</t>
  </si>
  <si>
    <t>2013-05-21 17:41:00</t>
  </si>
  <si>
    <t>MT. AIRY, USA INC. VS KHS EQUITIES, LLC</t>
  </si>
  <si>
    <t>MT. AIRY, USA INC</t>
  </si>
  <si>
    <t>AHUMADA, LORENA E</t>
  </si>
  <si>
    <t>KHS EQUITIES LLC</t>
  </si>
  <si>
    <t>GOLDSMITH III, EDWIN M; GRIFO, ROSARIO A</t>
  </si>
  <si>
    <t>59 E PHIL ELLENA STREET</t>
  </si>
  <si>
    <t>ZR236 - NOTICE GIVEN UNDER RULE 236: NOTICE GIVEN ON 13-MAR-2015 OF ORDER ENTERED/236 NOTICE GIVEN ENTERED ON 13-MAR-2015.</t>
  </si>
  <si>
    <t>Conservator appointed, rehabilitated, sold, fees awarded</t>
  </si>
  <si>
    <t>2014-02-26 16:00:00</t>
  </si>
  <si>
    <t>MT. AIRY, USA INC. VS LGD REAL ESTATE PARTNERS, L.</t>
  </si>
  <si>
    <t>LGD REAL ESTATE PARTNERS LP</t>
  </si>
  <si>
    <t>BOWMAN, MICHAEL A; MARTIN, MARY-KATE</t>
  </si>
  <si>
    <t>6657-59 GERMANTOWN AVENUE</t>
  </si>
  <si>
    <t>PRSDE - PRAEC/SETTLE DISCONTINUE END: SETTLED VIA S D &amp; E PRAECIPE FILED. (FILED ON BEHALF OF MT. AIRY, USA INC.)</t>
  </si>
  <si>
    <t>2014-12-23 17:07:00</t>
  </si>
  <si>
    <t>NGUYEN VS FOR THE PEOPLE HOUSING, LLC ETAL</t>
  </si>
  <si>
    <t>M0677 - AGREEMENT OF SALE APPROVED</t>
  </si>
  <si>
    <t>NGUYEN, TUNG</t>
  </si>
  <si>
    <t>FOR THE PEOPLE HOUSING LLC</t>
  </si>
  <si>
    <t>STAVRAKIS, CYNTHIA</t>
  </si>
  <si>
    <t>7224 GUYER AVENUE</t>
  </si>
  <si>
    <t>PRATT - PRAECIPE TO SUPPL/ATTACH FILED: 13-14123413 PRAECIPE TO SUPPLEMENT/ATTACH RE: PET-APPT CONSERVATOR-ACT 135 FILED. (FILED ON BEHALF OF TUNG NGUYEN)</t>
  </si>
  <si>
    <t>Conservator appointed, rehabilitation and fee structure agreed to, sale approved, fees awarded</t>
  </si>
  <si>
    <t>2020-03-02 10:04:00</t>
  </si>
  <si>
    <t>NOLAN VS THOMAS ETAL</t>
  </si>
  <si>
    <t>NOLAN, ANGELO</t>
  </si>
  <si>
    <t>SIMON, BETTY A; VANDERSLICE, RICHARD L</t>
  </si>
  <si>
    <t>THOMAS JR., THEOSDORE</t>
  </si>
  <si>
    <t>2504 W SEYBERT</t>
  </si>
  <si>
    <t>MAILR - RETURNED MAIL RECEIVED: RETURNED MAIL ORDER DATED 02/04/21 AS UNDELIVERABLE AT THE ADDRESS ON FILE WITH THE COURT TO THE FOLLOWING PARTY: FLEET CONSUMER DISCOUNT COMPANY.</t>
  </si>
  <si>
    <t>2010-01-28 01:10:00</t>
  </si>
  <si>
    <t>OGONTZ AVENUE REVITALIZATION CORPORATION VS KALEMK</t>
  </si>
  <si>
    <t>OGONTZ AVENUE REVITALIZATION CORPORATION</t>
  </si>
  <si>
    <t>CHURCH, EZRA D</t>
  </si>
  <si>
    <t>KALEMKERIAN, LEON; KALEMKERIAN, MARY O</t>
  </si>
  <si>
    <t>7452-54 OGONTZ AVENUE</t>
  </si>
  <si>
    <t>ZRDSC - PRAECIPE TO DISCONTINUE: ORDER TO DISCONTINUE WITHOUT PREJUDICE FILED. (FILED ON BEHALF OF OGONTZ AVENUE REVITALIZATION CORPORATION)</t>
  </si>
  <si>
    <t>2018-03-27 12:56:00</t>
  </si>
  <si>
    <t>PA NEIGHBORHOOD DEVELOPMENT PARTNERSHIP VS 1221 NO</t>
  </si>
  <si>
    <t>PA NEIGHBORHOOD DEVELOPMENT PARTNERSHIP</t>
  </si>
  <si>
    <t>1221 N HOLLYWOOD LLC; PHILADELPHIA HOUSING AUTHORITY</t>
  </si>
  <si>
    <t>AHUMADA, LORENA E; KENIS, ANDREW J</t>
  </si>
  <si>
    <t>1221 N HOLLYWOOD STREET</t>
  </si>
  <si>
    <t>M0378 - CORRECTION TO JUDGMENT INDEX: CORRECTION TO LOCALITY INDEX: LIS PENDENS VACATED PURSUANT TO COURT ORDER DATED 06/28/2018. INDEX UPDATED ON 07/02/2018</t>
  </si>
  <si>
    <t>2021-08-06 11:41:00</t>
  </si>
  <si>
    <t xml:space="preserve">PA NEIGHBORHOOD DEVELOPMENT PARTNERSHIP VS 627 S. </t>
  </si>
  <si>
    <t>627 S 49TH STREET LLC</t>
  </si>
  <si>
    <t>KLEIN, JARED N</t>
  </si>
  <si>
    <t>627 S 49TH STREET</t>
  </si>
  <si>
    <t>LISPR - RELEASE OF LIS PENDENS FILED: PRAECIPE TO RELEASE LIS PENDENS AS TO PREMISES 627 S 49TH STREET, PHILADELPHIA FILED. (FILED ON BEHALF OF PA NEIGHBORHOOD DEVELOPMENT PARTNERSHIP)</t>
  </si>
  <si>
    <t>2018-03-23 16:46:00</t>
  </si>
  <si>
    <t>PA NEIGHBORHOOD DEVELOPMENT PARTNERSHIP VS BETTERS</t>
  </si>
  <si>
    <t>CAMERON 316, ROGER P; MCILHINNEY, MICHAEL P</t>
  </si>
  <si>
    <t>BETTERSON, LAWRENCE; BETTERSON, MARGARET</t>
  </si>
  <si>
    <t>RUBINSTEIN, JASON A</t>
  </si>
  <si>
    <t>1255 N 24TH</t>
  </si>
  <si>
    <t>ZR236 - NOTICE GIVEN UNDER RULE 236: NOTICE GIVEN ON 01-MAY-2019 OF ORDER ENTERED - FINAL DISPOS ENTERED ON 30-APR-2019.</t>
  </si>
  <si>
    <t>Conservator appointed, fees agreed to via stipulations, conservatorship terminated</t>
  </si>
  <si>
    <t>2018-09-20 11:30:00</t>
  </si>
  <si>
    <t>PA NEIGHBORHOOD DEVELOPMENT PARTNERSHIP VS BROWN E</t>
  </si>
  <si>
    <t>BROWN, ALTA C; BROWN, JEFFIE L</t>
  </si>
  <si>
    <t>AVALLONE, LAWRENCE J</t>
  </si>
  <si>
    <t>2621 INGERSOLL STREET</t>
  </si>
  <si>
    <t>ZR236 - NOTICE GIVEN UNDER RULE 236: NOTICE GIVEN ON 24-OCT-2019 OF ORDER ENTERED - FINAL DISPOS ENTERED ON 22-OCT-2019.</t>
  </si>
  <si>
    <t>Deemed blighted, conditional relief granted, remediated, fees awarded</t>
  </si>
  <si>
    <t>2019-09-17 12:04:00</t>
  </si>
  <si>
    <t>PA NEIGHBORHOOD DEVELOPMENT PARTNERSHIP VS DATTS</t>
  </si>
  <si>
    <t>CARR, PETER; RITTERMAN, SAMUEL H; SORATHIA, ALEENA Y</t>
  </si>
  <si>
    <t>DATTS II, RICARDO T</t>
  </si>
  <si>
    <t>644 S 52ND STREET</t>
  </si>
  <si>
    <t>AFDVT - AFFIDAVIT OF SERVICE FILED: AFFIDAVIT OF SERVICE OF ATTORNEY WITHDRAWAL/ENTRY OF APPEARANCE UPON RICARDO T DATTS BY CERTIFIED MAIL ON 04/16/2022 FILED. (FILED ON BEHALF OF PA NEIGHBORHOOD DEVELOPMENT PARTNERSHIP)</t>
  </si>
  <si>
    <t>2019-09-17 12:28:00</t>
  </si>
  <si>
    <t>PA NEIGHBORHOOD DEVELOPMENT PARTNERSHIP VS EL ETAL</t>
  </si>
  <si>
    <t>EL, IMMANUEL; VIDAL, ROHAN</t>
  </si>
  <si>
    <t>1329 N MYRTLEWOOD STREET</t>
  </si>
  <si>
    <t>M0444 - LISTED-HRNG CONSERVATOR ACT: 86-19092386 HEARING SCHEDULED FOR 01-31-23 AT 2:30 P.M. IN COURTROOM 453, CITY HALL.</t>
  </si>
  <si>
    <t>Active, conservator appointed</t>
  </si>
  <si>
    <t>2020-01-16 15:06:00</t>
  </si>
  <si>
    <t>PA NEIGHBORHOOD DEVELOPMENT PARTNERSHIP VS GOINS E</t>
  </si>
  <si>
    <t>GOINS, GREGORY</t>
  </si>
  <si>
    <t>2153 N 09TH STREET</t>
  </si>
  <si>
    <t>MAILR - RETURNED MAIL RECEIVED: RETURNED MAIL ORDER DATED 10/21/21 AS UNDELIVERABLE AT THE ADDRESS ON FILE WITH THE COURT TO THE FOLLOWING PARTY: THOMAS BIGGINS.</t>
  </si>
  <si>
    <t>2018-09-20 11:17:00</t>
  </si>
  <si>
    <t>PA NEIGHBORHOOD DEVELOPMENT PARTNERSHIP VS HOLLING</t>
  </si>
  <si>
    <t>HOLLINGER, BARBARA; HOLLINGER, THOMAS</t>
  </si>
  <si>
    <t>RUSHIE, A JORDAN</t>
  </si>
  <si>
    <t>1404 N MARSTON STREET</t>
  </si>
  <si>
    <t>ESCRO - MONIES DEPOSITED/PROTHY ESCROW: 14,564.50 is being placed in an escrow account with the Office of Judicial Records pursuant to Judge Arnold New's September 30, 2020 Court Order.</t>
  </si>
  <si>
    <t>2021-08-06 13:51:00</t>
  </si>
  <si>
    <t xml:space="preserve">PA NEIGHBORHOOD DEVELOPMENT PARTNERSHIP VS JEBTRY </t>
  </si>
  <si>
    <t>JEBTRY AND COMPANY</t>
  </si>
  <si>
    <t>5237 CEDAR AVE.</t>
  </si>
  <si>
    <t>LISPR - RELEASE OF LIS PENDENS FILED: PRAECIPE TO RELEASE LIS PENDENS AS TO PREMISES 5237 CEDAR AVENUE, PHILADELPHIA, PA FILED.</t>
  </si>
  <si>
    <t>2020-01-16 15:00:00</t>
  </si>
  <si>
    <t>PA NEIGHBORHOOD DEVELOPMENT PARTNERSHIP VS MZZ LUC</t>
  </si>
  <si>
    <t>MZZ LUCKY LLC</t>
  </si>
  <si>
    <t>KAO, TARA P</t>
  </si>
  <si>
    <t>2128 N 09TH ST</t>
  </si>
  <si>
    <t>LISPR - RELEASE OF LIS PENDENS FILED: PRAECIPE TO RELEASE LIS PENDENS AS TO PREMISES 2128 N 9TH STREET, PHILADELPHIA FILED. (FILED ON BEHALF OF PA NEIGHBORHOOD DEVELOPMENT PARTNERSHIP)</t>
  </si>
  <si>
    <t>2021-05-07 15:52:00</t>
  </si>
  <si>
    <t xml:space="preserve">PA NEIGHBORHOOD DEVELOPMENT PARTNERSHIP VS NACHAS </t>
  </si>
  <si>
    <t>NACHAS REALTY LLC</t>
  </si>
  <si>
    <t>1423 MCFERRAN</t>
  </si>
  <si>
    <t>MAILR - RETURNED MAIL RECEIVED: RETURNED MAIL ORDER DATED DECEMBER 5, 2022 AS UNDELIVERABLE AT THE ADDRESS ON FILE WITH THE COURT TO THE FOLLOWING PARTY: NACHAS REALTY LLC.</t>
  </si>
  <si>
    <t>2020-01-16 14:29:00</t>
  </si>
  <si>
    <t xml:space="preserve">PA NEIGHBORHOOD DEVELOPMENT PARTNERSHIP VS NICOLE </t>
  </si>
  <si>
    <t>NICOLE HAWKINS INVESTMENT</t>
  </si>
  <si>
    <t>2114 N FRANKLIN ST</t>
  </si>
  <si>
    <t>PRSDE - PRAEC/SETTLE DISCONTINUE END: SETTLED VIA S D &amp; E PRAECIPE FILED. (FILED ON BEHALF OF PA NEIGHBORHOOD DEVELOPMENT PARTNERSHIP)</t>
  </si>
  <si>
    <t>2018-07-06 14:24:00</t>
  </si>
  <si>
    <t>PA NEIGHBORHOOD DEVELOPMENT PARTNERSHIP VS RUSH ET</t>
  </si>
  <si>
    <t>GREENFIELD-RUSH, VIVIAN P; REDEVELOPMENT AUTHORITY OF THE CITY OF PHILADELPHIA; RUSH JR., JAMES BRISTOL</t>
  </si>
  <si>
    <t>1208 N TAYLOR STREET</t>
  </si>
  <si>
    <t>ZR236 - NOTICE GIVEN UNDER RULE 236: NOTICE GIVEN ON 04-MAR-2019 OF ORDER ENTERED - FINAL DISPOS ENTERED ON 01-MAR-2019.</t>
  </si>
  <si>
    <t>Agreement to a fee and termination of petition</t>
  </si>
  <si>
    <t>2019-09-17 12:20:00</t>
  </si>
  <si>
    <t>PA NEIGHBORHOOD DEVELOPMENT PARTNERSHIP VS SIMMONS</t>
  </si>
  <si>
    <t>CARR, PETER; SORATHIA, ALEENA Y</t>
  </si>
  <si>
    <t>SIMMONS YOUTH DEVELOPMENT GUILD</t>
  </si>
  <si>
    <t>DUCLAIR, ANDREW M</t>
  </si>
  <si>
    <t>1235 N MYRTLEWOOD STREET</t>
  </si>
  <si>
    <t>LISPR - RELEASE OF LIS PENDENS FILED: PRAECIPE TO RELEASE LIS PENDENS AS TO PREMISES 1235 N MYRTLEWOOD STREET, PHILADELPHIA FILED. (FILED ON BEHALF OF PA NEIGHBORHOOD DEVELOPMENT PARTNERSHIP)</t>
  </si>
  <si>
    <t>2018-03-28 16:38:00</t>
  </si>
  <si>
    <t>PA NEIGHBORHOOD DEVELOPMENT PARTNERSHIP VS SMITH</t>
  </si>
  <si>
    <t>1215 N 28TH STREET</t>
  </si>
  <si>
    <t>2018-09-20 10:50:00</t>
  </si>
  <si>
    <t>PA NEIGHBORHOOD DEVELOPMENT PARTNERSHIP VS SNITH E</t>
  </si>
  <si>
    <t>MONROE JR., VERNON EARL; SNITH, THERESA C</t>
  </si>
  <si>
    <t>LUBIN, JEFFREY B</t>
  </si>
  <si>
    <t>1255 N DOVER</t>
  </si>
  <si>
    <t>2018-03-26 14:01:00</t>
  </si>
  <si>
    <t>PA NEIGHBORHOOD DEVELOPMENT PARTNERSHIP VS WALKER</t>
  </si>
  <si>
    <t>WALKER, SHARON O; WALKER, SHERMAN</t>
  </si>
  <si>
    <t>1300-02 N TANEY STREET</t>
  </si>
  <si>
    <t>M0378 - CORRECTION TO JUDGMENT INDEX: CORRECTION TO LOCALITY INDEX: LIS PENDENS VACATED PURSUANT TO COURT ORDER DATED 08/03/2018. INDEX UPDATED ON 08/15/2018</t>
  </si>
  <si>
    <t>2020-01-16 14:46:00</t>
  </si>
  <si>
    <t xml:space="preserve">PA NEIGHBORHOOD DEVELOPMENT PARTNERSHIP VS WENYAN </t>
  </si>
  <si>
    <t>WENYAN, LIU</t>
  </si>
  <si>
    <t>LEE, TIMOTHY F.T.</t>
  </si>
  <si>
    <t>2104 N 09TH ST</t>
  </si>
  <si>
    <t>2021-08-06 11:50:00</t>
  </si>
  <si>
    <t>PA NEIGHBORHOOD DEVELOPMENT PARTNERSHIP VS WILLIFO</t>
  </si>
  <si>
    <t>WILLIFORD, WILHEMINA</t>
  </si>
  <si>
    <t>5222 RODMAN STREET</t>
  </si>
  <si>
    <t>ZR236 - NOTICE GIVEN UNDER RULE 236: NOTICE GIVEN ON 06-JAN-2022 OF ORDER ENTERED/236 NOTICE GIVEN ENTERED ON 06-JAN-2022.</t>
  </si>
  <si>
    <t>2021-08-06 12:03:00</t>
  </si>
  <si>
    <t>PA NEIGHBORHOOD DEVELOPMENT PARTNERSHIP VS YAO ETA</t>
  </si>
  <si>
    <t>YAO, NUNOO E</t>
  </si>
  <si>
    <t>COHEN, FAYE R</t>
  </si>
  <si>
    <t>5109 HADFIELD STREET</t>
  </si>
  <si>
    <t>MTANS - ANSWER (MOTION/PETITION) FILED: 52-21081252 ANSWER IN OPPOSITION OF PET-APPT CONSERVATOR-ACT 135 FILED. (FILED ON BEHALF OF NUNOO E YAO)</t>
  </si>
  <si>
    <t>2018-01-04 10:23:00</t>
  </si>
  <si>
    <t>PACER PROPERTIES, LLC VS THE ESTATE OF HARRY MONAG</t>
  </si>
  <si>
    <t>PACER PROPERTIES LLC</t>
  </si>
  <si>
    <t>ALL UNKNOWN HEIRS; MONAGHAN ESTATE OF, HARRY; MONAGHAN ESTATE OF, SARAH</t>
  </si>
  <si>
    <t>2634 GERRITT STREET</t>
  </si>
  <si>
    <t>LISPR - RELEASE OF LIS PENDENS FILED: PRAECIPE TO RELEASE LIS PENDENS AS TO PREMISES 2634 GERRITT STREET, PHILADELPHIA FILED. (FILED ON BEHALF OF PACER PROPERTIES LLC)
ENTRY OF APPEARANCE FILED ON BEHALF OF PACER PROPERTIES LLC.</t>
  </si>
  <si>
    <t>2010-04-23 16:20:00</t>
  </si>
  <si>
    <t>PALMER VS CATINZZO ETAL</t>
  </si>
  <si>
    <t>PALMER, JOEL</t>
  </si>
  <si>
    <t>CATINZZO, JAMES; DIPASQUALE, SALVATORE; SACAFA, ANTHONY; VETERANS OF FOREIGN WARS OF THE UNITED STATES</t>
  </si>
  <si>
    <t>753 S 08TH STREET</t>
  </si>
  <si>
    <t>ZR236 - NOTICE GIVEN UNDER RULE 236: NOTICE GIVEN ON 29-MAR-2011 OF ORDER ENTERED - FINAL DISPOS ENTERED ON 28-MAR-2011.</t>
  </si>
  <si>
    <t>2012-03-10 09:24:00</t>
  </si>
  <si>
    <t>PALMER VS MIHALIC ETAL</t>
  </si>
  <si>
    <t>PALMER, JOEL; SCIOLI TURCO INC</t>
  </si>
  <si>
    <t>LOMAX, TONI R; MIHALIC, PAUL</t>
  </si>
  <si>
    <t>ASHER III, JOHN T</t>
  </si>
  <si>
    <t>614 KATER</t>
  </si>
  <si>
    <t>023019900</t>
  </si>
  <si>
    <t>LISPR - RELEASE OF LIS PENDENS FILED: PRAECIPE TO RELEASE LIS PENDENS AS TO PREMISES 614 E KATER STREET, PHILADELPHIA FILED. (FILED ON BEHALF OF TONI R. LOMAX AND PAUL MIHALIC)</t>
  </si>
  <si>
    <t>2010-12-10 15:01:00</t>
  </si>
  <si>
    <t>PALMER VS VETRANS OF FOREIGN WARS OF UNITED STATES</t>
  </si>
  <si>
    <t>SCIOLI-TURCO POST 592; VETRANS OF FOREIGN WARS OF UNITED STATES</t>
  </si>
  <si>
    <t>744 ST. ALBANS STREET</t>
  </si>
  <si>
    <t>022203010</t>
  </si>
  <si>
    <t>2021-07-31 16:00:00</t>
  </si>
  <si>
    <t>PATNAIK VS YEONG ETAL</t>
  </si>
  <si>
    <t>PATNAIK, SANGINA EMILY</t>
  </si>
  <si>
    <t>FOSTER, MICHELE L; YEONG, MICHAEL</t>
  </si>
  <si>
    <t>4814 TRINITY STREET</t>
  </si>
  <si>
    <t>MTMIS - MISCELLANEOUS MOTION/PETITION: 29-23013929 RESPONSE DATE 02/13/2023. MOTION TO APPROVE SALE OF CONSERVATORSHIP PROPERTY AT 4814 TRINITY STREET. (FILED ON BEHALF OF SANGINA EMILY PATNAIK)</t>
  </si>
  <si>
    <t>Active, conservator appointed, remediated, listed for sale</t>
  </si>
  <si>
    <t>2015-08-28 11:08:00</t>
  </si>
  <si>
    <t>PC2 L.L.C. VS ALLEN ETAL</t>
  </si>
  <si>
    <t>PC2 LLC</t>
  </si>
  <si>
    <t>ALLEN, BARBARA; ALLEN YOUNG, DOUGLAS</t>
  </si>
  <si>
    <t>FELICIANI III, ROBERT L</t>
  </si>
  <si>
    <t>7110 GERMANTOWN AVENUE</t>
  </si>
  <si>
    <t>092081310</t>
  </si>
  <si>
    <t>PRSDE - PRAEC/SETTLE DISCONTINUE END: SETTLED VIA S D &amp; E PRAECIPE FILED. (FILED ON BEHALF OF PC2 L.L.C.)</t>
  </si>
  <si>
    <t>2021-04-21 07:58:00</t>
  </si>
  <si>
    <t xml:space="preserve">PHILADELPHA COMMUNITY DEVELOPMENT COALITION, INC. </t>
  </si>
  <si>
    <t>PHILADELPHIA COMMUNITY DEVELOPMENT COALITION INC</t>
  </si>
  <si>
    <t>UNKNOWN HEIRS OF HAROLD E BEALE JR</t>
  </si>
  <si>
    <t>315 N PRESTON STREET</t>
  </si>
  <si>
    <t>061181900</t>
  </si>
  <si>
    <t>MAILR - RETURNED MAIL RECEIVED: RETURNED MAIL ORDER DATED 9/14/21 AS UNDELIVERABLE AT THE ADDRESS ON FILE WITH THE COURT TO THE FOLLOWING PARTY: THOMAS GILBERT</t>
  </si>
  <si>
    <t>2021-05-12 14:41:00</t>
  </si>
  <si>
    <t>ORIGINAL APOSTOLIC FAITH CHURCH OF LORD JESUS CHRIST INC</t>
  </si>
  <si>
    <t>RABINOVICH, JASON L; REUTER, LEONARD F</t>
  </si>
  <si>
    <t>2021-05-13 11:44:00</t>
  </si>
  <si>
    <t>DC INTEGRAL SYSTEMS INC</t>
  </si>
  <si>
    <t>1751 TILGHMAN STREET</t>
  </si>
  <si>
    <t>PRSDE - PRAEC/SETTLE DISCONTINUE END: SETTLED VIA S D &amp; E PRAECIPE FILED. (FILED ON BEHALF OF PHILADELPHA COMMUNITY DEVELOPMENT COALITION INC)</t>
  </si>
  <si>
    <t>2021-10-14 09:06:00</t>
  </si>
  <si>
    <t>NG PROPERTIES LLC</t>
  </si>
  <si>
    <t>510 MIDVALE STREET</t>
  </si>
  <si>
    <t>WRPRA - PRAECIPE TO ISSUE WRIT FILED: PRAECIPE FOR WRIT OF EXECUTION (RE) FILED. WRIT OF EXECUTION (RE) ISSUED. SUBJECT PREMISES: 2136 N PERCY ST. PHILADELPHIA. (FILED ON BEHALF OF PHILADELPHA COMMUNITY DEVELOPMENT COALITION INC)</t>
  </si>
  <si>
    <t>2021-11-16 18:24:00</t>
  </si>
  <si>
    <t>PHILADELPHIA LAND BANK</t>
  </si>
  <si>
    <t>BAKER JR, GEORGE V</t>
  </si>
  <si>
    <t>2016 N 20TH STREET</t>
  </si>
  <si>
    <t>ZR236 - NOTICE GIVEN UNDER RULE 236: NOTICE GIVEN ON 09-JAN-2023 OF APPEAL INVENTORY RECORD SENT ENTERED ON 09-JAN-2023.</t>
  </si>
  <si>
    <t>Active, deemed blighted, fees awarded</t>
  </si>
  <si>
    <t>2021-11-22 18:29:00</t>
  </si>
  <si>
    <t>RITTENHOUSE DEVELOPMENT GROUP LLC</t>
  </si>
  <si>
    <t>630 W RITTENHOUSE STREET</t>
  </si>
  <si>
    <t>2022-01-27 11:55:00</t>
  </si>
  <si>
    <t>FURST, LYDIA</t>
  </si>
  <si>
    <t>2150 N 09TH STREET</t>
  </si>
  <si>
    <t>ZR236 - NOTICE GIVEN UNDER RULE 236: NOTICE GIVEN ON 16-AUG-2022 OF ORDER ENTERED/236 NOTICE GIVEN ENTERED ON 16-AUG-2022.</t>
  </si>
  <si>
    <t>2017-07-17 11:25:00</t>
  </si>
  <si>
    <t>PHILADELPHIA BLIGHT PROJECT VS OSUJI ETAL</t>
  </si>
  <si>
    <t>PHILADELPHIA BLIGHT PROJECT</t>
  </si>
  <si>
    <t>OSUJI, BERNICE</t>
  </si>
  <si>
    <t>2253 N 33RD STREET</t>
  </si>
  <si>
    <t>ZR236 - NOTICE GIVEN UNDER RULE 236: NOTICE GIVEN ON 18-APR-2019 OF ORDER ENTERED - FINAL DISPOS ENTERED ON 17-APR-2019.</t>
  </si>
  <si>
    <t>Conservator appointed, remediation plan and fees agreeded to via settlement</t>
  </si>
  <si>
    <t>2017-09-05 12:42:00</t>
  </si>
  <si>
    <t>PHILADELPHIA BLIGHT PROJECT VS VALENTINE ETAL</t>
  </si>
  <si>
    <t>VALENTINE, AURORA</t>
  </si>
  <si>
    <t>2513-17 N 02ND STREET</t>
  </si>
  <si>
    <t>PRSDE - PRAEC/SETTLE DISCONTINUE END: SETTLED VIA S D &amp; E PRAECIPE FILED. (FILED ON BEHALF OF PHILADELPHIA BLIGHT PROJECT)</t>
  </si>
  <si>
    <t>2017-09-05 16:04:00</t>
  </si>
  <si>
    <t>2519 N 02ND STREET</t>
  </si>
  <si>
    <t>2017-09-12 11:30:00</t>
  </si>
  <si>
    <t>2521 N 02ND STREET</t>
  </si>
  <si>
    <t>2016-12-01 14:06:00</t>
  </si>
  <si>
    <t>PHILADELPHIA COMMUNITY DEVELOPMENT COALITION  VS W</t>
  </si>
  <si>
    <t>PHILADELPHIA COMMUNITY DEVELOPMENT COALITION</t>
  </si>
  <si>
    <t>UNKNOWN HEIRS OF LILLIAN WILLIAMS; WILLIAMS, LILLIAN</t>
  </si>
  <si>
    <t>1921 GERRITT STREET</t>
  </si>
  <si>
    <t>PRSDE - PRAEC/SETTLE DISCONTINUE END: SETTLED VIA S D &amp; E PRAECIPE FILED. (FILED ON BEHALF OF PHILADELPHIA COMMUNITY DEVELOPMENT COALITION)</t>
  </si>
  <si>
    <t>2021-08-27 10:30:00</t>
  </si>
  <si>
    <t>PHILADELPHIA COMMUNITY DEVELOPMENT COALITION INC V</t>
  </si>
  <si>
    <t>WEEKES, RASHEEN</t>
  </si>
  <si>
    <t>HARRIS, JERMAINE</t>
  </si>
  <si>
    <t>433 WIOTA STREET</t>
  </si>
  <si>
    <t>061173540</t>
  </si>
  <si>
    <t>PRSDE - PRAEC/SETTLE DISCONTINUE END: SETTLED VIA S D &amp; E PRAECIPE FILED. (FILED ON BEHALF OF PHILADELPHIA COMMUNITY DEVELOPMENT COALITION INC)</t>
  </si>
  <si>
    <t>2017-06-28 17:53:00</t>
  </si>
  <si>
    <t xml:space="preserve">PHILADELPHIA COMMUNITY DEVELOPMENT COALITION INC. </t>
  </si>
  <si>
    <t>1518 LOUDON LLC</t>
  </si>
  <si>
    <t>1524 RIDGE AVENUE</t>
  </si>
  <si>
    <t>MAILR - RETURNED MAIL RECEIVED: COPY OF ORDER/NOTICE ON 1518 LOUDON LLC RETURNED.</t>
  </si>
  <si>
    <t>2017-10-09 15:28:00</t>
  </si>
  <si>
    <t>AMELIA INVESTORS LLC</t>
  </si>
  <si>
    <t>2340 GERRITT STREET</t>
  </si>
  <si>
    <t>2017-11-15 08:58:00</t>
  </si>
  <si>
    <t>NORTH 21 STREET LLC</t>
  </si>
  <si>
    <t>SHNAYDER, STAN</t>
  </si>
  <si>
    <t>2342 GERRITT STREET</t>
  </si>
  <si>
    <t>2017-12-28 09:37:00</t>
  </si>
  <si>
    <t>ALLEN, OMOWUNNI</t>
  </si>
  <si>
    <t>1544 S 20TH STREET</t>
  </si>
  <si>
    <t>ZR236 - NOTICE GIVEN UNDER RULE 236: NOTICE GIVEN ON 31-AUG-2018 OF ORDER ENTERED - FINAL DISPOS ENTERED ON 30-AUG-2018.</t>
  </si>
  <si>
    <t>Conservator appointed, sale approved, fees awarded</t>
  </si>
  <si>
    <t>2019-04-30 13:10:00</t>
  </si>
  <si>
    <t>IRVING, NICHELLE P</t>
  </si>
  <si>
    <t>2213 WILDER STREET</t>
  </si>
  <si>
    <t>2019-11-18 13:08:00</t>
  </si>
  <si>
    <t>LOOBY, JAMES A; MILLER, VIOLET T</t>
  </si>
  <si>
    <t>2049 E LETTERLY STREET</t>
  </si>
  <si>
    <t>2020-01-07 20:22:00</t>
  </si>
  <si>
    <t>1511-13 N 28TH STREET</t>
  </si>
  <si>
    <t>2020-03-11 10:37:00</t>
  </si>
  <si>
    <t>MENDELSOHN, JULES</t>
  </si>
  <si>
    <t>FREUNDLICH, AUSTIN R; JAFFE, DAVID S; LITTMAN, GREGORY C; RUDITYS, BRIAN M</t>
  </si>
  <si>
    <t>912 N 30TH STREET</t>
  </si>
  <si>
    <t>ZR236 - NOTICE GIVEN UNDER RULE 236: NOTICE GIVEN ON 08-SEP-2021 OF ORDER ENTERED - FINAL DISPOS ENTERED ON 04-SEP-2021.</t>
  </si>
  <si>
    <t>Deemed blighted, conditoinal relief granted, remediated fees awarded</t>
  </si>
  <si>
    <t>2020-06-19 11:27:00</t>
  </si>
  <si>
    <t>MCILHINNEY, MICHAEL P; PECORA ESQ, JOSEPH</t>
  </si>
  <si>
    <t>ALSTON, ALSON</t>
  </si>
  <si>
    <t>3033 BALTZ STREET</t>
  </si>
  <si>
    <t>ZR236 - NOTICE GIVEN UNDER RULE 236: NOTICE GIVEN ON 12-NOV-2021 OF ORDER ENTERED - FINAL DISPOS ENTERED ON 09-NOV-2021.</t>
  </si>
  <si>
    <t>Deemed blighted, conditional relief granted, demolished by city, fees awarded</t>
  </si>
  <si>
    <t>2020-09-01 07:44:00</t>
  </si>
  <si>
    <t>MCILHINNEY, MICHAEL P; PFIRRMAN, JOHN ROBERT</t>
  </si>
  <si>
    <t>SCUTCHING, CONTRICIA</t>
  </si>
  <si>
    <t>2156 N PERCY STREET</t>
  </si>
  <si>
    <t>ZR236 - NOTICE GIVEN UNDER RULE 236: NOTICE GIVEN ON 17-MAY-2022 OF ORDER ENTERED/236 NOTICE GIVEN ENTERED ON 17-MAY-2022.</t>
  </si>
  <si>
    <t>2020-11-25 11:38:00</t>
  </si>
  <si>
    <t>LEE, BERNADINE M; LEE, FRANCIS J</t>
  </si>
  <si>
    <t>LEE, GARY</t>
  </si>
  <si>
    <t>333 N 11TH STREET</t>
  </si>
  <si>
    <t>056327200</t>
  </si>
  <si>
    <t>2021-01-29 08:53:00</t>
  </si>
  <si>
    <t>LTF DEVELOPMENT LLC</t>
  </si>
  <si>
    <t>1823 WILDER STREET</t>
  </si>
  <si>
    <t>ORDMN - COURT ORDERED PAYOUT OF ESCROW: CHECK #9682 IN THE AMOUNT OF $2,500.00 WAS RELEASED TO COUNSEL FOR THE PETITIONER, ORPHANIDES AND TONER LLP PER ORDER DATED 01/25/2022, BUTCHART, J.</t>
  </si>
  <si>
    <t>2021-03-01 10:10:00</t>
  </si>
  <si>
    <t>JACKSON, CHARISSE R; JACKSON, GREGORY L; JACKSON, THEODORE F</t>
  </si>
  <si>
    <t>BOMSTEIN, MICHAEL S</t>
  </si>
  <si>
    <t>848 N 40TH STREET</t>
  </si>
  <si>
    <t>062230800</t>
  </si>
  <si>
    <t>2021-03-16 17:41:00</t>
  </si>
  <si>
    <t>UNKNOWN HEIRS OF ESTHER DUNSTON</t>
  </si>
  <si>
    <t>YOUNG JR, JEFFERY</t>
  </si>
  <si>
    <t>1228 S 26TH STREET</t>
  </si>
  <si>
    <t>ORDMN - COURT ORDERED PAYOUT OF ESCROW: CHECK # 9730 IN THE AMOUNT OF $14,000.00 WAS RELEASED TO LEGIS GROUP LLC PER ORDER DATED 07/25/2022, BUTCHART, J.</t>
  </si>
  <si>
    <t>2022-06-06 21:55:00</t>
  </si>
  <si>
    <t>RUSSO REALTY PROPERTIES LLC</t>
  </si>
  <si>
    <t>2139 SEARS STREET</t>
  </si>
  <si>
    <t>2022-08-16 12:59:00</t>
  </si>
  <si>
    <t>WOODS, REBECCA</t>
  </si>
  <si>
    <t>320 N EDGEWOOD</t>
  </si>
  <si>
    <t>Active, deemed blighted</t>
  </si>
  <si>
    <t>2019-05-17 19:03:00</t>
  </si>
  <si>
    <t>PHILADELPHIA COMMUNITY DEVELOPMENT COALITION INC.,</t>
  </si>
  <si>
    <t>LEEPER, BEATRICE S; UNKNOWN HEIRS OF BEATRICE AKA BEATRICE E GROSS</t>
  </si>
  <si>
    <t>MORRIS, ROSLYN D</t>
  </si>
  <si>
    <t>1609 ELLSWORTH STREET</t>
  </si>
  <si>
    <t>2016-06-21 17:32:00</t>
  </si>
  <si>
    <t>PHILADELPHIA COMMUNITY DEVELOPMENT COALITION VS</t>
  </si>
  <si>
    <t>KLEIN, JARED N; TONER, PAUL J</t>
  </si>
  <si>
    <t>WOODS, ELLE TY</t>
  </si>
  <si>
    <t>2316 GERRITT STREET</t>
  </si>
  <si>
    <t>LISPR - RELEASE OF LIS PENDENS FILED: PRAECIPE TO RELEASE LIS PENDENS AS TO PREMISES 2316 GERRITT, PHILADELPHIA FILED. (FILED ON BEHALF OF PHILADELPHIA COMMUNITY DEVELOPMENT COALITION)</t>
  </si>
  <si>
    <t>2022-03-20 17:20:00</t>
  </si>
  <si>
    <t>PHILADELPHIA COMMUNITY DEVELOPMENT COALITION VS 54</t>
  </si>
  <si>
    <t>M0514 - COURT FINDING</t>
  </si>
  <si>
    <t>5432 LANCASTER AVE LLC; CARAFA, FRANCIS N; CARAFA, LOUISE; JOANNE MCCARTHY CO-ADMINISTRATRIX OF EST OF JOSEPHINE CARAFA; MCCARTHY, JOANNE; ROSALIE A CARAFA CO-ADMIN OF ESTATE OF JOSEPHINE CARAFA; SPINOGATTI, JOHN P</t>
  </si>
  <si>
    <t>LEE, MICHELLE V</t>
  </si>
  <si>
    <t>5432 LANCASTER AVENUE</t>
  </si>
  <si>
    <t>ZR236 - NOTICE GIVEN UNDER RULE 236: NOTICE GIVEN ON 07-OCT-2022 OF COURT FINDING ENTERED ON 07-OCT-2022.</t>
  </si>
  <si>
    <t>2022-04-05 15:12:00</t>
  </si>
  <si>
    <t>PHILADELPHIA COMMUNITY DEVELOPMENT COALITION VS AM</t>
  </si>
  <si>
    <t>AMIN CARTER PROPERTIES LLC; UNKNOWN HEIRS OF ADDIE L SMITH</t>
  </si>
  <si>
    <t>2528 RIDGE AVENUE</t>
  </si>
  <si>
    <t>AFDVT - AFFIDAVIT OF SERVICE FILED: AFFIDAVIT OF SERVICE OF PETITION AND ORDER TO SHOW CAUSE UPON BY CERTIFIED MAIL ON 05/23/2022 FILED. (FILED ON BEHALF OF PHILADELPHIA COMMUNITY DEVELOPMENT COALITION)</t>
  </si>
  <si>
    <t>2017-02-08 22:18:00</t>
  </si>
  <si>
    <t>PHILADELPHIA COMMUNITY DEVELOPMENT COALITION VS BA</t>
  </si>
  <si>
    <t>BASHIR, MUSTAFA</t>
  </si>
  <si>
    <t>2052 BLAIR STREET</t>
  </si>
  <si>
    <t>2016-07-08 14:30:00</t>
  </si>
  <si>
    <t>PHILADELPHIA COMMUNITY DEVELOPMENT COALITION VS CY</t>
  </si>
  <si>
    <t>CY4 LLC</t>
  </si>
  <si>
    <t>1309 POINT BREEZE AVENUE</t>
  </si>
  <si>
    <t>ZR236 - NOTICE GIVEN UNDER RULE 236: NOTICE GIVEN ON 20-OCT-2016 OF ORDER ENTERED - FINAL DISPOS ENTERED ON 19-OCT-2016.</t>
  </si>
  <si>
    <t>2016-11-21 15:41:00</t>
  </si>
  <si>
    <t>PHILADELPHIA COMMUNITY DEVELOPMENT COALITION VS HI</t>
  </si>
  <si>
    <t>HINES ESTATE OF INCAPACITED PERSON, SHIRLEY</t>
  </si>
  <si>
    <t>1706-10 W SEYBERT STREET</t>
  </si>
  <si>
    <t>ZR236 - NOTICE GIVEN UNDER RULE 236: NOTICE GIVEN ON 27-SEP-2017 OF ORDER ENTERED - FINAL DISPOS ENTERED ON 26-SEP-2017.</t>
  </si>
  <si>
    <t>2022-05-02 13:12:00</t>
  </si>
  <si>
    <t>PHILADELPHIA COMMUNITY DEVELOPMENT COALITION VS HN</t>
  </si>
  <si>
    <t>HNM LLC</t>
  </si>
  <si>
    <t>2248 EARP STREET</t>
  </si>
  <si>
    <t>M0378 - CORRECTION TO JUDGMENT INDEX: ***CORRECTION TO JUDGMENT INDEX: LIS PENDENS RELEASED PURSUANT TO COURT ORDER DATED 09-19-2022. INDEX UPDATED 09-19-22.</t>
  </si>
  <si>
    <t>Deemed blighted, stipulation agreed to, fees awarded</t>
  </si>
  <si>
    <t>2016-10-13 10:01:00</t>
  </si>
  <si>
    <t>PHILADELPHIA COMMUNITY DEVELOPMENT COALITION VS LA</t>
  </si>
  <si>
    <t>1932 GERRITT STREET</t>
  </si>
  <si>
    <t>2016-08-19 12:32:00</t>
  </si>
  <si>
    <t>PHILADELPHIA COMMUNITY DEVELOPMENT COALITION VS MA</t>
  </si>
  <si>
    <t>FOX, MICHAEL; MCILHINNEY, MICHAEL P; TONER, PAUL J</t>
  </si>
  <si>
    <t>INGLETON, TAMIKA; MAHONE, NATHANIEL; TWO COMMA LLC</t>
  </si>
  <si>
    <t>GAIER, MICHAEL H</t>
  </si>
  <si>
    <t>855 N 16TH STREET</t>
  </si>
  <si>
    <t>SATFD - SATISFACTION FILED: ORDER TO SATISFY THE JUDGMENT FILED. (FILED ON BEHALF OF PHILADELPHIA COMMUNITY DEVELOPMENT COALITION)</t>
  </si>
  <si>
    <t>2016-08-02 12:05:00</t>
  </si>
  <si>
    <t>PHILADELPHIA COMMUNITY DEVELOPMENT COALITION VS MC</t>
  </si>
  <si>
    <t>MCNEAL, JABBAR</t>
  </si>
  <si>
    <t>1827 W THOMPSON STREET</t>
  </si>
  <si>
    <t>ZR236 - NOTICE GIVEN UNDER RULE 236: NOTICE GIVEN ON 22-DEC-2016 OF ORDER ENTERED/236 NOTICE GIVEN ENTERED ON 20-DEC-2016.</t>
  </si>
  <si>
    <t>2016-07-15 10:42:00</t>
  </si>
  <si>
    <t>PHILADELPHIA COMMUNITY DEVELOPMENT COALITION VS PO</t>
  </si>
  <si>
    <t>KLEIN, JARED N; MCILHINNEY, MICHAEL P; TONER, PAUL J</t>
  </si>
  <si>
    <t>POLLARD, MYRA L</t>
  </si>
  <si>
    <t>2016-08-03 16:51:00</t>
  </si>
  <si>
    <t>PHILADELPHIA COMMUNITY DEVELOPMENT COALITION VS RE</t>
  </si>
  <si>
    <t>FOX, MICHAEL; KLEIN, JARED N; MCILHINNEY, MICHAEL P; TONER, PAUL J</t>
  </si>
  <si>
    <t>REECE MAKENZIE UNLIMITED PROPERTIES LLC</t>
  </si>
  <si>
    <t>1828 W THOMPSON STREET</t>
  </si>
  <si>
    <t>PRSDE - PRAEC/SETTLE DISCONTINUE END: SETTLED VIA S D &amp; E PRAECIPE FILED. (FILED ON BEHALF OF PHILADELPHIA COMMUNITY DEVELOPMENT COALITION)
ENTRY OF APPEARANCE FILED ON BEHALF OF PHILADELPHIA COMMUNITY DEVELOPMENT COALITION.</t>
  </si>
  <si>
    <t>2016-05-12 17:59:00</t>
  </si>
  <si>
    <t>PHILADELPHIA COMMUNITY DEVELOPMENT COALITION VS WI</t>
  </si>
  <si>
    <t>WILSON, EBONI L</t>
  </si>
  <si>
    <t>2318 GERRITT STREET</t>
  </si>
  <si>
    <t>2018-02-23 16:28:00</t>
  </si>
  <si>
    <t xml:space="preserve">PHILADELPHIA COMMUNITY DEVELOPMENT COALITION, INC </t>
  </si>
  <si>
    <t>GONZALEZ, BARBARA; UNKNOWN HEIRS OF BARBARA GONZALEZ</t>
  </si>
  <si>
    <t>KIVITZ, JAY E</t>
  </si>
  <si>
    <t>2108 E ARIZONA STREET</t>
  </si>
  <si>
    <t>ZR236 - NOTICE GIVEN UNDER RULE 236: NOTICE GIVEN ON 18-JAN-2019 OF ORDER ENTERED - FINAL DISPOS ENTERED ON 17-JAN-2019.</t>
  </si>
  <si>
    <t>2018-04-16 17:08:00</t>
  </si>
  <si>
    <t>UNKNOWN HEIRS OF CORRINE POWELL</t>
  </si>
  <si>
    <t>2129 SEYBERT STREET</t>
  </si>
  <si>
    <t>2018-04-20 17:50:00</t>
  </si>
  <si>
    <t>GARDNER, CAROLINE A; TONER, PAUL J</t>
  </si>
  <si>
    <t>BULLDOG REAL ESTATE PROPERTIES LLC</t>
  </si>
  <si>
    <t>KRIK, JUSTIN L</t>
  </si>
  <si>
    <t>M0378 - CORRECTION TO JUDGMENT INDEX: CORRECTION TO LOCALITY INDEX: LIS PENDENS VACATED PURSUANT TO COURT ORDER DATED 11/07/2018. INDEX UPDATED 11/20/2018</t>
  </si>
  <si>
    <t>2018-05-04 18:21:00</t>
  </si>
  <si>
    <t>GRATZ STREET CONDOS LLC</t>
  </si>
  <si>
    <t>KENIS, ANDREW J; KRIK, JUSTIN L</t>
  </si>
  <si>
    <t>1818 SEYBERT STREET</t>
  </si>
  <si>
    <t>SATFD - SATISFACTION FILED: ORDER TO SATISFY THE JUDGMENT FILED. (FILED ON BEHALF OF PHILADELPHIA COMMUNITY DEVELOPMENT COALITION INC)</t>
  </si>
  <si>
    <t>2018-06-14 11:21:00</t>
  </si>
  <si>
    <t>MACK ADMINISTRATOR, STEVEN; MACK, BEVERLY; UNKNOWN HEIRS OF SUSIE MACK</t>
  </si>
  <si>
    <t>2409 W THOMPSON STREET</t>
  </si>
  <si>
    <t>M0378 - CORRECTION TO JUDGMENT INDEX: CORRECTION TO LOCALITY INDEX: LIS PENDENS VACATED PURSUANT TO COURT ORDER DATED 02/15/2019. INDEX UPDATED ON 02/19/2019</t>
  </si>
  <si>
    <t>2018-07-18 10:45:00</t>
  </si>
  <si>
    <t>GARDNER, CAROLINE A; MCILHINNEY, MICHAEL P</t>
  </si>
  <si>
    <t>GREYSTONE REAL ESTATE INVESTMENTS TRUST LLC</t>
  </si>
  <si>
    <t>58-60 W WASHINGTON LANE</t>
  </si>
  <si>
    <t>2018-09-11 18:46:00</t>
  </si>
  <si>
    <t>BLISSFUL ENTERPRISES LLC</t>
  </si>
  <si>
    <t>BAZZELL, ERICA L</t>
  </si>
  <si>
    <t>1264 N 23RD STREET</t>
  </si>
  <si>
    <t>M0378 - CORRECTION TO JUDGMENT INDEX: CORRECTION TO IN REM INDEX: THE LIS PENDENS AGAINST 1264 NORTH 23RD STREET IS LIFTED PURSUANT TO COURT ORDER DATED 8/15/19.  IN REM INDEX UPDATED ON 8/20/19.</t>
  </si>
  <si>
    <t>Deemed blighted, conditional relief granted, discontinued</t>
  </si>
  <si>
    <t>2018-10-15 16:00:00</t>
  </si>
  <si>
    <t>UNKNOWN HEIRS OF OWEN MILTON</t>
  </si>
  <si>
    <t>1262 N 23RD STREET</t>
  </si>
  <si>
    <t>ZRDSC - PRAECIPE TO DISCONTINUE: ORDER TO DISCONTINUE WITHOUT PREJUDICE FILED. (FILED ON BEHALF OF PHILADELPHIA COMMUNITY DEVELOPMENT COALITION INC)</t>
  </si>
  <si>
    <t>2019-05-15 18:30:00</t>
  </si>
  <si>
    <t>KENNEDY, SANDRA</t>
  </si>
  <si>
    <t>2420 HARLAN STREET</t>
  </si>
  <si>
    <t>SATPT - PARTIAL SATISFACTION FILED: SATISFACTION FILED. (FILED ON BEHALF OF PHILADELPHIA COMMUNITY DEVELOPMENT COALITION INC)</t>
  </si>
  <si>
    <t>2019-07-03 18:25:00</t>
  </si>
  <si>
    <t>RODRIGUEZ, ANGEL</t>
  </si>
  <si>
    <t>1818 N MARSTON STREET</t>
  </si>
  <si>
    <t>MAILR - RETURNED MAIL RECEIVED: RETURNED MAIL ORDER DATED 08/19/20 AS UNDELIVERABLE AT THE ADDRESS ON FILE WITH THE COURT TO THE FOLLOWING PARTY: PHILADELPHIA TRAFFIC COURT.</t>
  </si>
  <si>
    <t>2019-07-03 18:32:00</t>
  </si>
  <si>
    <t>1826 N MARSTON STREET</t>
  </si>
  <si>
    <t>MAILR - RETURNED MAIL RECEIVED: RETURNED MAIL ORDER DATED 08/20/20 AS UNDELIVERABLE AT THE ADDRESS ON FILE WITH THE COURT TO THE FOLLOWING PARTY: PHILADELPHIA TRAFFIC COURT.</t>
  </si>
  <si>
    <t>2017-03-15 18:45:00</t>
  </si>
  <si>
    <t>PHILADELPHIA COMMUNITY DEVELOPMENT COALITION, INC.</t>
  </si>
  <si>
    <t>FERRERO, LOUIS N</t>
  </si>
  <si>
    <t>525 N 20TH STREET</t>
  </si>
  <si>
    <t>084139900</t>
  </si>
  <si>
    <t>PRSDE - PRAEC/SETTLE DISCONTINUE END: SETTLED VIA S D &amp; E PRAECIPE FILED. (FILED ON BEHALF OF PHILADELPHIA COMMUNITY DEVELOPMENT COALITION, INC.)</t>
  </si>
  <si>
    <t>2017-03-24 17:44:00</t>
  </si>
  <si>
    <t>TAGGART, WARREN T</t>
  </si>
  <si>
    <t>1117 E OXFORD STREET</t>
  </si>
  <si>
    <t>M0378 - CORRECTION TO JUDGMENT INDEX: CORRECTION TO LOCALITY INDEX: LIS PENDENS LIFTED PURSUANT TO COURT ORDER DATED 09/18/2017</t>
  </si>
  <si>
    <t>2017-03-28 16:01:00</t>
  </si>
  <si>
    <t>PM INVESTMENT PROPERTIES LLC</t>
  </si>
  <si>
    <t>1419 S 20TH STREET</t>
  </si>
  <si>
    <t>2017-04-10 16:15:00</t>
  </si>
  <si>
    <t>REXACH, CARLOS A; ROCA, ANGELES</t>
  </si>
  <si>
    <t>628 MASTER STREET</t>
  </si>
  <si>
    <t>2017-04-20 11:36:00</t>
  </si>
  <si>
    <t>KIGLER GROUP LLC</t>
  </si>
  <si>
    <t>GABAY, ELI</t>
  </si>
  <si>
    <t>2221 N COLLEGE AVENUE</t>
  </si>
  <si>
    <t>2017-05-15 10:51:00</t>
  </si>
  <si>
    <t>BLESSING REAL ESTATE &amp; MANAGEMENT LLC</t>
  </si>
  <si>
    <t>1516-18 N MARSTON STREET</t>
  </si>
  <si>
    <t>ATSNF - ATTEMPTED SERVICE - NOT FOUND: JAMES KENT NOT FOUND ON 07/12/2017.</t>
  </si>
  <si>
    <t>2017-05-16 12:09:00</t>
  </si>
  <si>
    <t>GIUNTA, ANGEL; GIUNTA JR., FRANK</t>
  </si>
  <si>
    <t>1828 S ORIANNA STREET</t>
  </si>
  <si>
    <t>011425100</t>
  </si>
  <si>
    <t>AFDVT - AFFIDAVIT OF SERVICE FILED: AFFIDAVIT OF SERVICE OF PETITION &amp; ORDER TO SHOW CAUSE UPON ANGEL GIUNTA AND FRANK GIUNTA BY PERSONAL SERVICE ON 05/25/2017 FILED.</t>
  </si>
  <si>
    <t>2017-07-14 16:37:00</t>
  </si>
  <si>
    <t>ZUARES, NISSIM</t>
  </si>
  <si>
    <t>930 N 02ND STREET</t>
  </si>
  <si>
    <t>ZRDSC - PRAECIPE TO DISCONTINUE: ORDER TO DISCONTINUE WITHOUT PREJUDICE FILED. (FILED ON BEHALF OF PHILADELPHIA COMMUNITY DEVELOPMENT COALITION, INC.)</t>
  </si>
  <si>
    <t>2017-08-03 12:40:00</t>
  </si>
  <si>
    <t>UNKNOWN HEIRS OF NISSIM ZUARES; ZUARES, NISSIM</t>
  </si>
  <si>
    <t>KALE, JEFFREY N</t>
  </si>
  <si>
    <t>ZR236 - NOTICE GIVEN UNDER RULE 236: NOTICE GIVEN ON 21-JUN-2018 OF ORDER ENTERED - FINAL DISPOS ENTERED ON 20-JUN-2018.</t>
  </si>
  <si>
    <t>Deemed blighted, conditional relief granted, remediated and fees awarded via agreement</t>
  </si>
  <si>
    <t>2017-08-04 16:18:00</t>
  </si>
  <si>
    <t>SAMMONS ADMINISTRATOR OF ESTATE OF EMERY B SAMMONS, EMERY M</t>
  </si>
  <si>
    <t>5115 WAYNE AVENUE</t>
  </si>
  <si>
    <t>JDORF - JUDGMENT-COURT ORDER FINAL DIS: PRAECIPE FOR ENTRY OF JUDGMENT FILED. 
CERTIFICATE OF SERVICE FILED. NOTICE UNDER RULE 236. 
JUDGMENT IS ENTERED IN FAVOR OF PHILADELPHIA COMMUNITY DEVELOPMENT COALITION, INC. AND AGAINST EMERY M. SAMMONS ADMINISTRATOR OF ESTATE OF EMERY B. SAMMONS IN THE AMOUNT OF $ ON THE COURT ORDER DATED 06/07/2018.</t>
  </si>
  <si>
    <t>2017-08-10 14:29:00</t>
  </si>
  <si>
    <t>MCILHINNEY, MICHAEL P; TABAS, LAUREN R</t>
  </si>
  <si>
    <t>COOK, MAMIE</t>
  </si>
  <si>
    <t>1812 MANTON STREET</t>
  </si>
  <si>
    <t>ORDRF - ORDER ENTERED - FINAL DISPOS: *** PLEASE NOTE: THIS ENTRY IS BEING MADE TO UPDATE THE STATUS OF THIS CASE. *** CMF OJR</t>
  </si>
  <si>
    <t>2017-10-04 19:44:00</t>
  </si>
  <si>
    <t>BEST ESQ, SCOTT J; KWI BUILDERS INC; UNKNOWN HEIRS OF VIRGIE RUFF</t>
  </si>
  <si>
    <t>1302 N 22ND STREET</t>
  </si>
  <si>
    <t>ZR236 - NOTICE GIVEN UNDER RULE 236: NOTICE GIVEN ON 17-SEP-2018 OF ORDER ENTERED - FINAL DISPOS ENTERED ON 17-SEP-2018.</t>
  </si>
  <si>
    <t>2017-10-19 14:27:00</t>
  </si>
  <si>
    <t>CHRISTIAN MISSION FELLOWSHIP BAPTIST CHURCH</t>
  </si>
  <si>
    <t>2131-33 W SEYBERT STREET</t>
  </si>
  <si>
    <t>LISPR - RELEASE OF LIS PENDENS FILED: PRAECIPE TO RELEASE LIS PENDENS AS TO PREMISES 2131-33 SEYBERT STREET, PHILADELPHIA FILED. (FILED ON BEHALF OF PHILADELPHIA COMMUNITY DEVELOPMENT COALITION INC)</t>
  </si>
  <si>
    <t>2017-10-25 12:19:00</t>
  </si>
  <si>
    <t>CHRISTIAN MISSION BAPTIST CHURCH</t>
  </si>
  <si>
    <t>2017-10-26 17:59:00</t>
  </si>
  <si>
    <t>THOMPSON, TOMIRAH; UNKNOWN HEIRS OF JUANITA DEL RIO</t>
  </si>
  <si>
    <t>TOPPIN, SHERMAN C</t>
  </si>
  <si>
    <t>545 N 12TH STREET</t>
  </si>
  <si>
    <t>MAILR - RETURNED MAIL RECEIVED: RETURNED MAIL ORDER DATED 12/06/18 AS UNDELIVERABLE AT THE ADDRESS ON FILE WITH THE COURT TO THE FOLLOWING PARTY: LENDINGHOME FUNDING CORPORATION.</t>
  </si>
  <si>
    <t>2017-11-27 10:23:00</t>
  </si>
  <si>
    <t>STSET - SETTLED BY STIPULATION</t>
  </si>
  <si>
    <t>SCHIMPF ADMINISTRATOR OF ESTATE OF ANNA GOODEMA, JOSEPH J</t>
  </si>
  <si>
    <t>BEAUVAIS, DARWIN R; FERLEGER, MEREDITH L; TANCREDI, DAWN M</t>
  </si>
  <si>
    <t>845-47 ALMOND STREET</t>
  </si>
  <si>
    <t>ORDMN - COURT ORDERED PAYOUT OF ESCROW: OLD CHECK #9204 IN THE AMOUNT OF $1,000.00 WAS VOIDED ON 7/29/2019. NEW CHECK #9377 IN THE AMOUNT OF $1,000.00 WAS RELEASED TO JOSEPH J SCHIMPF</t>
  </si>
  <si>
    <t>Deemed blighted, conditional relief granted, remediated and fees awarded via stipulation</t>
  </si>
  <si>
    <t>2017-12-19 13:49:00</t>
  </si>
  <si>
    <t>BONK, KURT J</t>
  </si>
  <si>
    <t>830 N 04TH STREET</t>
  </si>
  <si>
    <t>056199500</t>
  </si>
  <si>
    <t>M0378 - CORRECTION TO JUDGMENT INDEX: CORRECTION TO LOCALITY INDEX: LIS PENDENS VACATED PURSUANT TO COURT ORDER DATED 11/05/2018. INDEX UPDATED ON 11/14/2018</t>
  </si>
  <si>
    <t>2017-12-22 11:35:00</t>
  </si>
  <si>
    <t>MOLINERO AND ANTHONY MOLINERO CO-PARTNERS, MARY; UNKNOWN HEIRS OF ANTHONY MOLINERO JR; UNKNOWN HEIRS OF MARY MOLINERO</t>
  </si>
  <si>
    <t>LIPUMA, MICHAEL D</t>
  </si>
  <si>
    <t>1163 S 12TH STREET</t>
  </si>
  <si>
    <t>021589400</t>
  </si>
  <si>
    <t>MAILR - RETURNED MAIL RECEIVED: RETURNED MAIL ORDER DATED 02/27/19 AS UNDELIVERABLE AT THE ADDRESS ON FILE WITH THE COURT TO THE FOLLOWING PARTY: ANTHONY MALINERO.</t>
  </si>
  <si>
    <t>2018-03-02 16:28:00</t>
  </si>
  <si>
    <t>JOHN KERAK ADMINISTRATOR OF THE ESTATE OF ANNA KERAK; UNKNOWN HEIRS OF ANNA KERAK</t>
  </si>
  <si>
    <t>2332 E THOMPSON STREET</t>
  </si>
  <si>
    <t>ESCRO - MONIES DEPOSITED/PROTHY ESCROW: $13,067.38 DEPOSITED INTO ESCROW WITH THE OFFICE OF JUDICIAL RECORDS PERSUANT TO COURT ORDER FOX, J. CONTROL NUMBER 18101009.</t>
  </si>
  <si>
    <t>2018-04-23 14:36:00</t>
  </si>
  <si>
    <t>KAUFMANN, ANNABELLE; UNKNOWN HEIRS OF MADDALENA POLIDARO</t>
  </si>
  <si>
    <t>730 EARP STREET</t>
  </si>
  <si>
    <t>012024700</t>
  </si>
  <si>
    <t>ORDMN - COURT ORDERED PAYOUT OF ESCROW: CHECK #9308 IN THE AMOUNT OF $61,650.53 WAS RELEASED TO F SCOTT DONAHUE</t>
  </si>
  <si>
    <t>2018-05-04 15:49:00</t>
  </si>
  <si>
    <t>PEARSON, CAROL; PEARSON, IRVING</t>
  </si>
  <si>
    <t>CAMPESE JR., FRANK</t>
  </si>
  <si>
    <t>1811 LATONA STREET</t>
  </si>
  <si>
    <t>2018-06-01 17:31:00</t>
  </si>
  <si>
    <t>BRANHAM-WALTON, BARBARA</t>
  </si>
  <si>
    <t>VANDERSLICE, RICHARD L; VONROSENSTIEL, MARTHA E</t>
  </si>
  <si>
    <t>1831 LATONA STREET</t>
  </si>
  <si>
    <t>ORDMN - COURT ORDERED PAYOUT OF ESCROW: CHECK #9509 IN THE AMOUNT OF $56,257.10 WAS RELEASED TO RESPONDENT BARBARA BRANHAM WALTON</t>
  </si>
  <si>
    <t>2018-06-01 18:15:00</t>
  </si>
  <si>
    <t>DICKENS, CHARLES; UNKNOWN HEIRS OF FRANK MCCURDY</t>
  </si>
  <si>
    <t>1306 N 25TH STREET</t>
  </si>
  <si>
    <t>MAILR - RETURNED MAIL RECEIVED: RETURNED MAIL ORDER DATED 06/10/19 AS UNDELIVERABLE AT THE ADDRESS ON FILE WITH THE COURT TO THE FOLLOWING PARTY: CHARLES DICKENS.</t>
  </si>
  <si>
    <t>2018-06-07 17:33:00</t>
  </si>
  <si>
    <t>CORNERSTONE PA FLIP PROPERTIES LLC</t>
  </si>
  <si>
    <t>DAIELLO JR, MICHAEL L</t>
  </si>
  <si>
    <t>1844 WILDER STREET</t>
  </si>
  <si>
    <t>2018-09-19 11:56:00</t>
  </si>
  <si>
    <t>MASAI JOHNSON ADMINISTRATOR OF ESTATE OF FRANK A TOOMER; PEEK, DONNA; TOOMER, ARLENE; TOOMER JR., ROY R; TOOMER, MARY; TOOMER, PRISCILLA; UNKNOWN HEIRS OF ROY R TOOMER</t>
  </si>
  <si>
    <t>2018-09-24 16:30:00</t>
  </si>
  <si>
    <t>HANNAH JR., CHARLES; UNKNOWN HEIRS OF BARBARA J HANNAH; UNKNOWN HEIRS OF CHARLES HANNA JR</t>
  </si>
  <si>
    <t>MCCABE, CHRISTOPHER I</t>
  </si>
  <si>
    <t>2738 FEDERAL STREET</t>
  </si>
  <si>
    <t>LISPR - RELEASE OF LIS PENDENS FILED: PRAECIPE TO RELEASE LIS PENDENS AS TO PREMISES 2738 FEDERAL STREET, PHILADELPHIA FILED. (FILED ON BEHALF OF PHILADELPHIA COMMUNITY DEVELOPMENT COALITION INC)</t>
  </si>
  <si>
    <t>Dismissed via stipulation</t>
  </si>
  <si>
    <t>2018-10-16 11:57:00</t>
  </si>
  <si>
    <t>DONAHUE, SCOTT F; UNKNOWN HEIRS OF MARY HOLIDAY; VA &amp; B LLC</t>
  </si>
  <si>
    <t>SABATINI, DONALD S</t>
  </si>
  <si>
    <t>1307 N 25TH STREET</t>
  </si>
  <si>
    <t>ZR236 - NOTICE GIVEN UNDER RULE 236: NOTICE GIVEN ON 26-SEP-2019 OF ORDER ENTERED - FINAL DISPOS ENTERED ON 25-SEP-2019.</t>
  </si>
  <si>
    <t>2018-12-03 20:53:00</t>
  </si>
  <si>
    <t>UNKNOWN HEIRS OF HAROLD HORTON</t>
  </si>
  <si>
    <t>2209 DREER STREET</t>
  </si>
  <si>
    <t>MAILR - RETURNED MAIL RECEIVED: RETURNED MAIL TRIAL WORKSHEET DATED 04/04/19AS UNDELIVERABLE AT THE ADDRESS ON FILE WITH THE COURT TO THE FOLLOWING PARTY: UNKNOWN HEIRS OF HAROLD HORTON.</t>
  </si>
  <si>
    <t>2018-12-07 14:14:00</t>
  </si>
  <si>
    <t>FASSETT TR, BRUCE</t>
  </si>
  <si>
    <t>JOHNSON, CLINTON L; TOPPIN, SHERMAN C</t>
  </si>
  <si>
    <t>5105 OVERBROOK AVENUE</t>
  </si>
  <si>
    <t>ZR236 - NOTICE GIVEN UNDER RULE 236: NOTICE GIVEN ON 02-AUG-2022 OF APPEAL INVENTORY RECORD SENT ENTERED ON 02-AUG-2022.</t>
  </si>
  <si>
    <t>Conservator appointed, remediated, sale approved, fees ordered, appeal pending</t>
  </si>
  <si>
    <t>2018-12-20 16:10:00</t>
  </si>
  <si>
    <t>VICTORIA WOODIE ADMINISTRATOR OF ESTATE OF LONNIE P HERRING</t>
  </si>
  <si>
    <t>1309 N 25TH STREET</t>
  </si>
  <si>
    <t>ORDMN - COURT ORDERED PAYOUT OF ESCROW: CHECK #9417 IN THE AMOUNT OF $10,200.00 WAS RELEASED TO PHILADELPHIA COMMUNITY DEVELOPMENT COALITION INC</t>
  </si>
  <si>
    <t>Conditional relief granted, remediated, fees awarded</t>
  </si>
  <si>
    <t>2019-01-04 14:21:00</t>
  </si>
  <si>
    <t>ZHANG, WENLONG</t>
  </si>
  <si>
    <t>KRIK, JUSTIN L; SMITH, EDWARD J</t>
  </si>
  <si>
    <t>1320 S 48TH STREET</t>
  </si>
  <si>
    <t>ZR236 - NOTICE GIVEN UNDER RULE 236: NOTICE GIVEN ON 06-OCT-2020 OF ORDER ENTERED - FINAL DISPOS ENTERED ON 05-OCT-2020.</t>
  </si>
  <si>
    <t>2019-01-22 18:00:00</t>
  </si>
  <si>
    <t>MOTEN, RYKEEDA D</t>
  </si>
  <si>
    <t>1836 W SEYBERT STREET</t>
  </si>
  <si>
    <t>PRSDE - PRAEC/SETTLE DISCONTINUE END: PRAECIPE TO SETTLE, DISCONTINUE, AND END FILED.</t>
  </si>
  <si>
    <t>2019-02-08 15:07:00</t>
  </si>
  <si>
    <t>MCILHINNEY, MICHAEL P; PECORA ESQ, JOSEPH; RHODE, LISA M; TONER, PAUL J</t>
  </si>
  <si>
    <t>ORIGINAL APOSTOLIC FAITH CHURCH OF THE LORD JESUS CHRIST</t>
  </si>
  <si>
    <t>BERNICK, ADAM S; HAYES, EDWARD J; RABINOVICH, JASON L</t>
  </si>
  <si>
    <t>LISPR - RELEASE OF LIS PENDENS FILED: PRAECIPE TO RELEASE LIS PENDENS AS TO PREMISES 1512-16 N BROAD STREET, PHILADELPHIA FILED. (FILED ON BEHALF OF PHILADELPHIA COMMUNITY DEVELOPMENT COALITION INC)</t>
  </si>
  <si>
    <t>2019-03-04 12:49:00</t>
  </si>
  <si>
    <t>BROWN, JEFFIE</t>
  </si>
  <si>
    <t>2608 INGERSOLL STREET</t>
  </si>
  <si>
    <t>Deemed blighted, conditional relief granted, settled</t>
  </si>
  <si>
    <t>2019-03-14 16:17:00</t>
  </si>
  <si>
    <t>HASAN, AMAI</t>
  </si>
  <si>
    <t>1810 MUTTER STREET</t>
  </si>
  <si>
    <t>M0378 - CORRECTION TO JUDGMENT INDEX: CORRECTION TO IN REM INDEX: LIS PENDENS AGAINST 1810 MUTTER STREET IS LIFTED PURSUANT TO COURT ORDER DATED 8/2/19.  INDEX UPDATED ON 8/8/19.</t>
  </si>
  <si>
    <t>2019-03-18 09:42:00</t>
  </si>
  <si>
    <t>2442 INGERSOLL LLC; BROWN, CLINTON</t>
  </si>
  <si>
    <t>2442 INGERSOLL STREET</t>
  </si>
  <si>
    <t>ZR236 - NOTICE GIVEN UNDER RULE 236: NOTICE GIVEN ON 31-OCT-2019 OF SETTLED BY STIPULATION ENTERED ON 30-OCT-2019.</t>
  </si>
  <si>
    <t>Deemed blighted by stipulation, sale and fees agreeded to by stipulation</t>
  </si>
  <si>
    <t>2019-04-06 16:07:00</t>
  </si>
  <si>
    <t>SHOULDER TO SHOULDER OUTREACH MINISTRY</t>
  </si>
  <si>
    <t>6416 GERMANTOWN AVENUE</t>
  </si>
  <si>
    <t>2019-04-17 15:07:00</t>
  </si>
  <si>
    <t>BREW DEVELOPMENT LLC</t>
  </si>
  <si>
    <t>1530 N 25TH</t>
  </si>
  <si>
    <t>2019-04-23 15:38:00</t>
  </si>
  <si>
    <t>LIG REALTY LLC</t>
  </si>
  <si>
    <t>1829 INGERSOLL STREET</t>
  </si>
  <si>
    <t>2019-05-16 16:26:00</t>
  </si>
  <si>
    <t>2418 HARLAN LLC; UNKNOWN HEIRS OF CHARLES E DOLEMAN</t>
  </si>
  <si>
    <t>2418 HARLAN STREET</t>
  </si>
  <si>
    <t>2019-07-23 12:35:00</t>
  </si>
  <si>
    <t>PECORA ESQ, JOSEPH; TONER, PAUL J</t>
  </si>
  <si>
    <t>HOWARD, DASHANDA; MILES, CORDERO</t>
  </si>
  <si>
    <t>1846 N MARSTON</t>
  </si>
  <si>
    <t>2019-07-25 09:33:00</t>
  </si>
  <si>
    <t>JOELL III, VICTOR L</t>
  </si>
  <si>
    <t>2822 W OXFORD</t>
  </si>
  <si>
    <t>2019-07-31 09:01:00</t>
  </si>
  <si>
    <t>ALDERFER, SARAH; MCILHINNEY, MICHAEL P; TONER, PAUL J</t>
  </si>
  <si>
    <t>1524 RIDGE LLC; DONAHUE ADMINISTRATOR OF THE ESTATE OF MILLIE MAE DUNBAR, F SCOTT</t>
  </si>
  <si>
    <t>5200 OVERBOOK AVENUE</t>
  </si>
  <si>
    <t>ZR236 - NOTICE GIVEN UNDER RULE 236: NOTICE GIVEN ON 30-SEP-2020 OF ORDER ENTERED - FINAL DISPOS ENTERED ON 28-SEP-2020.</t>
  </si>
  <si>
    <t>2019-08-05 15:09:00</t>
  </si>
  <si>
    <t>MCILHINNEY, MICHAEL P; SWAIN, ANDREW D; TONER, PAUL J</t>
  </si>
  <si>
    <t>2441 W SEYBERT LLC</t>
  </si>
  <si>
    <t>JAFFE, DAVID S; ZRILLO, LAUREN</t>
  </si>
  <si>
    <t>2441 SEYBERT STREET</t>
  </si>
  <si>
    <t>2019-08-23 10:53:00</t>
  </si>
  <si>
    <t>UNKNOWN HEIRS OF ELEANOR DOUGLAS</t>
  </si>
  <si>
    <t>FOXWORTH JR, RODERICK L</t>
  </si>
  <si>
    <t>1746 N 25TH STREET</t>
  </si>
  <si>
    <t>2019-09-04 14:51:00</t>
  </si>
  <si>
    <t>SAMUELS, TRACEY; UNKNOWN HEIRS OF DOROTHY ANDERSON</t>
  </si>
  <si>
    <t>1845 N MARSTON STREET</t>
  </si>
  <si>
    <t>2019-09-06 10:09:00</t>
  </si>
  <si>
    <t>GAMAL A HASAN, TRUSTEE IN TRUST FOR THE NATIONAL MUSLIM IMPR</t>
  </si>
  <si>
    <t>AVERETT, DAVID J</t>
  </si>
  <si>
    <t>2336 CECIL B. MOORE AVENUE</t>
  </si>
  <si>
    <t>LISPR - RELEASE OF LIS PENDENS FILED: PRAECIPE TO RELEASE LIS PENDENS AS TO PREMISES 2336 CECIL B MOORE AVENUE, PHILADELPHIA FILED. (FILED ON BEHALF OF PHILADELPHIA COMMUNITY DEVELOPMENT COALITION INC)</t>
  </si>
  <si>
    <t>2019-09-06 10:19:00</t>
  </si>
  <si>
    <t>ALDERFER, SARAH; PECORA ESQ, JOSEPH; TONER, PAUL J</t>
  </si>
  <si>
    <t>SHO SHO INVESTMENTS LLC</t>
  </si>
  <si>
    <t>ANASTASIO, VERN; COOK, HARRY B</t>
  </si>
  <si>
    <t>2338 CECIL B MOORE AVENUE</t>
  </si>
  <si>
    <t>PRSDE - PRAEC/SETTLE DISCONTINUE END</t>
  </si>
  <si>
    <t>Deemed blighted, conditional relief granted, remediated, fees agreed to</t>
  </si>
  <si>
    <t>2019-10-11 10:41:00</t>
  </si>
  <si>
    <t>ALDERFER, SARAH; KLEIN, JARED N; MCILHINNEY, MICHAEL P; TONER, PAUL J</t>
  </si>
  <si>
    <t>KELLUM, DOLORES</t>
  </si>
  <si>
    <t>2223 OPAKFORD STREET</t>
  </si>
  <si>
    <t>MAILR - RETURNED MAIL RECEIVED: RETURNED MAIL ARBITRATION HEARING DATED 09/15/21 AS UNDELIVERABLE AT THE ADDRESS ON FILE WITH THE COURT TO THE FOLLOWING PARTY: PHILADELPHIA TRAFFIC COURT.</t>
  </si>
  <si>
    <t>2019-10-15 09:53:00</t>
  </si>
  <si>
    <t>FOUNDATION DEVELOPERS LLC</t>
  </si>
  <si>
    <t>2245 TITAN STREET</t>
  </si>
  <si>
    <t>2019-10-17 15:16:00</t>
  </si>
  <si>
    <t>OWENS, PAULA</t>
  </si>
  <si>
    <t>2154 N PERCY STREET</t>
  </si>
  <si>
    <t>MAILR - RETURNED MAIL RECEIVED: RETURNED MAIL ORDER DATED 01/11/21 AS UNDELIVERABLE AT THE ADDRESS ON FILE WITH THE COURT TO THE FOLLOWING PARTY: PAULA OWENS.</t>
  </si>
  <si>
    <t>2019-11-24 14:45:00</t>
  </si>
  <si>
    <t>BROWN ADMINISTRATOR OF ESTATE OF PAUL HARRILL, SHEILA</t>
  </si>
  <si>
    <t>2517 CECIL B. MOORE AVENUE</t>
  </si>
  <si>
    <t>2019-11-24 15:57:00</t>
  </si>
  <si>
    <t>BOSTIC JACKSON, LAVERNE; BOSTIC, SANDRA; UNKNOWN HEIRS OF BERTHA ALLEN</t>
  </si>
  <si>
    <t>2620 FEDERAL STREET</t>
  </si>
  <si>
    <t>2019-11-24 17:41:00</t>
  </si>
  <si>
    <t>WHITE III ADMINISTRATOR OF ESTATE OF HADDIE C WHITE, CHARLES E; WHITE III TRUSTEE, CHARLES E</t>
  </si>
  <si>
    <t>PEASE MR., CLARK W</t>
  </si>
  <si>
    <t>2227-31 N 52ND STREET</t>
  </si>
  <si>
    <t>ZR236 - NOTICE GIVEN UNDER RULE 236: NOTICE GIVEN ON 17-SEP-2021 OF ORDER ENTERED - FINAL DISPOS ENTERED ON 17-SEP-2021.</t>
  </si>
  <si>
    <t>Deemed blighted, conditional relief granted, remediated, conservatorship terminated</t>
  </si>
  <si>
    <t>2019-12-02 10:22:00</t>
  </si>
  <si>
    <t>ERVIN ADMINISTRATRIX OF ESTATE OF WILLIAM ERVIN SR, HALIMA</t>
  </si>
  <si>
    <t>1714 N BAMBREY STREET</t>
  </si>
  <si>
    <t>2019-12-06 11:51:00</t>
  </si>
  <si>
    <t>BOWEN, SEDRICK; JONES, MICHELLE T</t>
  </si>
  <si>
    <t>DEAN, CHRISTOPHER W</t>
  </si>
  <si>
    <t>2354 TURNER STREET</t>
  </si>
  <si>
    <t>MAILR - RETURNED MAIL RECEIVED: RETURNED MAIL ORDER DATED 05/20/21 AS UNDELIVERABLE AT THE ADDRESS ON FILE WITH THE COURT TO THE FOLLOWING PARTY: PHILADELPHIA TRAFFIC COURT.</t>
  </si>
  <si>
    <t>Conservator appointed, plan denied, terminated and fees awarded by agreement</t>
  </si>
  <si>
    <t>2019-12-16 10:14:00</t>
  </si>
  <si>
    <t>ADAMS, OLIVIA A</t>
  </si>
  <si>
    <t>4027 W GIRARD AVENUE</t>
  </si>
  <si>
    <t>062175200</t>
  </si>
  <si>
    <t>ZR236 - NOTICE GIVEN UNDER RULE 236: NOTICE GIVEN ON 19-JUL-2022 OF ORDER ENTERED/236 NOTICE GIVEN ENTERED ON 18-JUL-2022.</t>
  </si>
  <si>
    <t>2020-02-11 17:09:00</t>
  </si>
  <si>
    <t>A L INVESTORS LLC</t>
  </si>
  <si>
    <t>KALIKHMAN, LAWRENCE</t>
  </si>
  <si>
    <t>15 E PLEASANT STREET</t>
  </si>
  <si>
    <t>2020-02-17 14:13:00</t>
  </si>
  <si>
    <t>MCILHINNEY, MICHAEL P; ROSS, ANDREW S</t>
  </si>
  <si>
    <t>CECIL B 2036 LLC</t>
  </si>
  <si>
    <t>MONROE 410, MATTHEW C; PICCIRILLI, GAETANO P; PLATT, MONICA C</t>
  </si>
  <si>
    <t>2036-40 CECIL B. MOORE AVENUE</t>
  </si>
  <si>
    <t>2020-02-26 16:34:00</t>
  </si>
  <si>
    <t>RAMSUER, KEBBIE</t>
  </si>
  <si>
    <t>1222 S 26TH STREET</t>
  </si>
  <si>
    <t>MAILR - RETURNED MAIL RECEIVED: RETURNED MAIL ORDER DATED 12/17/21 AS UNDELIVERABLE AT THE ADDRESS ON FILE WITH THE COURT TO THE FOLLOWING PARTY: KEBBIE RAMSUER.</t>
  </si>
  <si>
    <t>Active, deemed blighted, conditional relief granted</t>
  </si>
  <si>
    <t>2020-02-26 17:52:00</t>
  </si>
  <si>
    <t>ALDERFER, SARAH; MCILHINNEY, MICHAEL P</t>
  </si>
  <si>
    <t>ATL DEVELOPMENT CORPORATION</t>
  </si>
  <si>
    <t>648-50 N 40TH STREET</t>
  </si>
  <si>
    <t>2020-03-04 13:49:00</t>
  </si>
  <si>
    <t>PINKETT, ROSE</t>
  </si>
  <si>
    <t>3253 RIDGE AVENUE</t>
  </si>
  <si>
    <t>JDORF - JUDGMENT-COURT ORDER FINAL DIS: PRAECIPE FOR ENTRY OF JUDGMENT FILED. 
CERTIFICATE OF SERVICE FILED. NOTICE UNDER RULE 236. 
JUDGMENT IS ENTERED IN FAVOR OF PHILADELPHIA COMMUNITY DEVELOPMENT COALITION INC AND AGAINST ROSE PINKETT IN THE AMOUNT OF $7,500.00 ON THE COURT ORDER DATED 09/28/2021.</t>
  </si>
  <si>
    <t>Deemed blighted and conitional relief and fees agreed to by stipulation</t>
  </si>
  <si>
    <t>2020-03-12 09:43:00</t>
  </si>
  <si>
    <t>UKNOWN HEIRS OF MARIA WOODFOLK</t>
  </si>
  <si>
    <t>37 WIOTA STREET</t>
  </si>
  <si>
    <t>061170200</t>
  </si>
  <si>
    <t>MAILR - RETURNED MAIL RECEIVED: COPY OF ORDER ON UNKNOWN HEIRS OF MARIA WOODFOLK, RETURNED.</t>
  </si>
  <si>
    <t>2020-03-26 13:05:00</t>
  </si>
  <si>
    <t>M0045 - STIPULATION - FINAL DISPO</t>
  </si>
  <si>
    <t>MCILHINNEY, MICHAEL P; OLEN, ANDREW</t>
  </si>
  <si>
    <t>QUANT, MARIO</t>
  </si>
  <si>
    <t>SMOKER, PHILIP</t>
  </si>
  <si>
    <t>3817 BARING STREET</t>
  </si>
  <si>
    <t>ORDMN - COURT ORDERED PAYOUT OF ESCROW: CHECK #9762 IN THE AMOUNT OF $10,000.00 WAS RELEASED TO ORPHANIDES &amp; TONER LLP PER ORDER DATED 09/28/2022, BUTCHART, J.</t>
  </si>
  <si>
    <t>Deemed blighted, conditional relief granted, remediated, fees awarded via stipulation</t>
  </si>
  <si>
    <t>2020-05-01 17:44:00</t>
  </si>
  <si>
    <t>MT VERNON CEMETERY COMPANY</t>
  </si>
  <si>
    <t>3301 W LEHIGH AVENUE</t>
  </si>
  <si>
    <t>M0462 - LISTED-STAT CONF CONSERVATOR: 02-21076202 HEARING SCHEDULED FOR 02-17-23 AT 9:30 A.M. IN COURTROOM 453, CITY HALL.</t>
  </si>
  <si>
    <t>2020-05-18 16:06:00</t>
  </si>
  <si>
    <t>CROWLEY, GABRIEL</t>
  </si>
  <si>
    <t>THOMAS, WILLIAM J</t>
  </si>
  <si>
    <t>1923 N 33RD STREET</t>
  </si>
  <si>
    <t>CLRDS - REMOVED FROM DEFERRED STATUS</t>
  </si>
  <si>
    <t>2021-03-24 10:58:00</t>
  </si>
  <si>
    <t>COATES, GERALDINE; OUTLAW, BUFUS; OUTLAW, GRACIOUS; OUTLAW, MELLON; OUTLAW, PATRICIA; OUTLAW, VERONICA; UNKNOWN HEIRS OF BUFUS OUTLAW; UNKNOWN HEIRS OF DARCELES OUTLAW; UNKNOWN HEIRS OF GEORGE OUTLAW; UNKNOWN HEIRS OF GERALDINE COATES; UNKNOWN HEIRS OF MELLON OUTLAW; UNKNOWN HEIRS OF PATRICIA OUTLAW; UNKNOWN HEIRS OF WILHEMIA MCCULLUM; UNKNOWN HEIRS OF WILLE MAE HANNAH</t>
  </si>
  <si>
    <t>2624 OAKFORD STREET</t>
  </si>
  <si>
    <t>MAILR - RETURNED MAIL RECEIVED: RETURNED MAIL ORDER DATED 03/14/22 AS UNDELIVERABLE AT THE ADDRESS ON FILE WITH THE COURT TO THE FOLLOWING PARTY: UNKNOWN HEIRS OF WILLIE MAE HANNAH.</t>
  </si>
  <si>
    <t>2021-04-13 18:27:00</t>
  </si>
  <si>
    <t>M0679 - WAITING-DISBURSMENT HEARING</t>
  </si>
  <si>
    <t>PHILADELPHIA REDEVELOPMENT AUTHORITY</t>
  </si>
  <si>
    <t>HARMON, RYAN D; NEWCOMB, WILLIAM M</t>
  </si>
  <si>
    <t>3110 W BERKS STREET</t>
  </si>
  <si>
    <t>ZR236 - NOTICE GIVEN UNDER RULE 236: NOTICE GIVEN ON 27-JUN-2022 OF APPEAL INVENTORY RECORD SENT ENTERED ON 27-JUN-2022.</t>
  </si>
  <si>
    <t>Deemed blighted, petition approved, demolished by city, fees being appealed</t>
  </si>
  <si>
    <t>2021-04-19 17:42:00</t>
  </si>
  <si>
    <t>DELAROSA ASSET MANAGEMENT LLC</t>
  </si>
  <si>
    <t>2021-06-11 17:09:00</t>
  </si>
  <si>
    <t>1547 BAMBREY LLC</t>
  </si>
  <si>
    <t>1547 S BAMBREY STREET</t>
  </si>
  <si>
    <t>2022-01-28 15:40:00</t>
  </si>
  <si>
    <t>RASHID, AHMAD</t>
  </si>
  <si>
    <t>2146 N 09TH STREET</t>
  </si>
  <si>
    <t>2022-01-31 17:21:00</t>
  </si>
  <si>
    <t>LEE, BRENDA HELENA; UNKNOWN HEIRS OF BRENDA HELENA LEE</t>
  </si>
  <si>
    <t>2157 N PERCY STREET</t>
  </si>
  <si>
    <t>MTASN - MOTION ASSIGNED: 70-22120070 MOTN-APPROVE AGREEMENT OF SALE ASSIGNED TO JUDGE: JUDGE, CONSERVATORSHIP . ON DATE: DECEMBER 01, 2022</t>
  </si>
  <si>
    <t>Active, conservator appointed, remediated</t>
  </si>
  <si>
    <t>2022-02-02 16:06:00</t>
  </si>
  <si>
    <t>COLORADO REDEVELOPMENT LLC F/K/A CRUD LLC</t>
  </si>
  <si>
    <t>3028 FONTAIN STREET</t>
  </si>
  <si>
    <t>ZR236 - NOTICE GIVEN UNDER RULE 236: NOTICE GIVEN ON 22-JUN-2022 OF ORDER ENTERED/236 NOTICE GIVEN ENTERED ON 21-JUN-2022.</t>
  </si>
  <si>
    <t>2022-04-27 12:25:00</t>
  </si>
  <si>
    <t>UNKNOWN HEIRS OF RUTH JONES</t>
  </si>
  <si>
    <t>3003 PAGE</t>
  </si>
  <si>
    <t>2022-05-09 10:48:00</t>
  </si>
  <si>
    <t>AVDC INC</t>
  </si>
  <si>
    <t>JASKOWIAK, DAVID A; JOHNS III, ROBERT P</t>
  </si>
  <si>
    <t>1422 TASKER STREET</t>
  </si>
  <si>
    <t>2022-05-20 11:11:00</t>
  </si>
  <si>
    <t>G &amp; A REALTY LLC</t>
  </si>
  <si>
    <t>2022-06-13 12:50:00</t>
  </si>
  <si>
    <t>SAMMONS, EMERY M; TSIWEN M LAW ADMINISTRATOR OF ESTATE OF EMERY B SAMMONS</t>
  </si>
  <si>
    <t>SAVAGE JR, MILTON S</t>
  </si>
  <si>
    <t>M0462 - LISTED-STAT CONF CONSERVATOR: 50-22062550 HEARING SCHEDULED FOR 03-15-23 AT 09:30 A.M. IN COURTROOM 453, CITY HALL</t>
  </si>
  <si>
    <t>2022-06-29 15:50:00</t>
  </si>
  <si>
    <t>VIVEKANANTHAN, ANURA K</t>
  </si>
  <si>
    <t>CARLETON, MICHAEL E; CONNOR, CRISTINA LYNN; DIETTERICK, SCOTT A; HONG, KIMBERLY J; OFLAZIAN, ALYK L; PLATT, MONICA C; WOLF, KATHERINE M; WOOTERS, MEREDITH</t>
  </si>
  <si>
    <t>2337 WHARTON STREET</t>
  </si>
  <si>
    <t>2022-07-05 14:39:00</t>
  </si>
  <si>
    <t>6901 SHERMAN LLC</t>
  </si>
  <si>
    <t>1918 N DARIEN STREET</t>
  </si>
  <si>
    <t>MAILR - RETURNED MAIL RECEIVED: RETURNED MAIL ORDER DATED 11/23/22 AS UNDELIVERABLE AT THE ADDRESS ON FILE WITH THE COURT TO THE FOLLOWING PARTY: 6901 SHERMAN LLC.</t>
  </si>
  <si>
    <t>Active, agreement reached</t>
  </si>
  <si>
    <t>2022-07-18 13:14:00</t>
  </si>
  <si>
    <t>P ANTHONY COMPANY</t>
  </si>
  <si>
    <t>DELEON, JAMES M; RIGMAIDEN-DELEON, MARILYN A</t>
  </si>
  <si>
    <t>2040 GERRITT STREET</t>
  </si>
  <si>
    <t>M0462 - LISTED-STAT CONF CONSERVATOR: 06-22072806 HEARING SCHEDULED FOR 02-02-23 AT 12:00 P.M. IN COURTROOM 453, CITY HALL.</t>
  </si>
  <si>
    <t>2022-07-20 13:24:00</t>
  </si>
  <si>
    <t>UNKNOWN HEIRS OF THELMA HOGAN</t>
  </si>
  <si>
    <t>1644 ANNIN STREET</t>
  </si>
  <si>
    <t>M0462 - LISTED-STAT CONF CONSERVATOR: 14-22073714 HEARING SCHEDULED FOR 03-15-23 AT 10:30 A.M. IN COURTROOM 453, CITY HALL</t>
  </si>
  <si>
    <t>2022-07-22 12:29:00</t>
  </si>
  <si>
    <t>1218 GREYLOCK</t>
  </si>
  <si>
    <t>M0444 - LISTED-HRNG CONSERVATOR ACT: 64-22074164 HEARING SCHEDULED FOR 02-01-23 AT 1:30 P.M. IN COURTROOM 453, CITY HALL.</t>
  </si>
  <si>
    <t>2022-07-29 11:13:00</t>
  </si>
  <si>
    <t>UNKNOWN HEIRS OF ROBERT ABRAMS</t>
  </si>
  <si>
    <t>3135 W NORRIS STREET</t>
  </si>
  <si>
    <t>MAILR - RETURNED MAIL RECEIVED: RETURNED MAIL ORDER DATED DECEMBER 5, 2022 AS UNDELIVERABLE AT THE ADDRESS ON FILE WITH THE COURT TO THE FOLLOWING PARTY: UNKNOWN HEIRS OF ROBERT ABRAMS.</t>
  </si>
  <si>
    <t>2022-08-16 17:26:00</t>
  </si>
  <si>
    <t>PLATINUM REAL ESTATE &amp; APPRAISALS LLC</t>
  </si>
  <si>
    <t>1910 N DARIEN STREET</t>
  </si>
  <si>
    <t>MAILR - RETURNED MAIL RECEIVED: RETURNED MAIL ORDER DATED 12/05/22 AS UNDELIVERABLE AT THE ADDRESS ON FILE WITH THE COURT TO THE FOLLOWING PARTY: PLATINUM REAL ESTATE &amp; APPRAISALS LLC.</t>
  </si>
  <si>
    <t>2022-08-24 12:47:00</t>
  </si>
  <si>
    <t>SIEVERS WARNER THE UNKNOWN HEIRS OF, ELIESE; STYLES, ROSE; UNK BENEFICIARIES OF TRUST U/W OF ELIESE SIEVERS WARNER; WARNER FAITH TABERNACLE</t>
  </si>
  <si>
    <t>849 N 16TH STREET</t>
  </si>
  <si>
    <t>M0462 - LISTED-STAT CONF CONSERVATOR: 12-22084612 HEARING SCHEDULED FOR 03-13-23 AT 10:30 A.M. CITY HALL, COURTROOM 453.</t>
  </si>
  <si>
    <t>2022-08-24 14:19:00</t>
  </si>
  <si>
    <t>HANNAH, GREGORY</t>
  </si>
  <si>
    <t>LADD, KRISTEN W</t>
  </si>
  <si>
    <t>1728 S CLEVELAND STREET</t>
  </si>
  <si>
    <t>MAILR - RETURNED MAIL RECEIVED: RETURNED MAIL NOTICE OF AN ORDER DATED 01/05/23 AS UNDELIVERABLE AT THE ADDRESS ON FILE WITH THE COURT TO THE FOLLOWING PARTY: GREGORY HANNAH.</t>
  </si>
  <si>
    <t>2022-09-02 14:43:00</t>
  </si>
  <si>
    <t>GONCALVES, JULIO FILIPE</t>
  </si>
  <si>
    <t>1809 N 24TH STREET</t>
  </si>
  <si>
    <t>2022-09-02 15:08:00</t>
  </si>
  <si>
    <t>KALTSIDIS, FILIPPAS; KALTSIDIS, ILIAS</t>
  </si>
  <si>
    <t>1807 N 24TH STREET</t>
  </si>
  <si>
    <t>2022-09-06 12:47:00</t>
  </si>
  <si>
    <t>TRINH, CHAI PHET; TRINH, VUI CHIEN</t>
  </si>
  <si>
    <t>1110 S 07TH STREET</t>
  </si>
  <si>
    <t>021476700</t>
  </si>
  <si>
    <t>AFDVT - AFFIDAVIT OF SERVICE FILED: AFFIDAVIT OF SERVICE OF NOTICE TO ATTEND UPON VUI CHIEN TRINH BY PERSONAL SERVICE ON 01/16/2023 FILED.</t>
  </si>
  <si>
    <t>2022-09-12 15:54:00</t>
  </si>
  <si>
    <t>UNKNOWN HEIRS OF BRUNETTE AUSTIN</t>
  </si>
  <si>
    <t>2440 RIDGE AVENUE</t>
  </si>
  <si>
    <t>MAILR - RETURNED MAIL RECEIVED: RETURNED MAIL ORDER DATED 09/20/22 AS UNDELIVERABLE AT THE ADDRESS ON FILE WITH THE COURT TO THE FOLLOWING PARTY: UNKNOWN HEIRS OF BRUNETTE AUSTIN.</t>
  </si>
  <si>
    <t>2022-09-23 16:41:00</t>
  </si>
  <si>
    <t>RIDGE POINTE LLC</t>
  </si>
  <si>
    <t>DEVLIN, DANIEL; GOLD ESQ, ARIELLE R; HAMILTON, JOHN ALEXANDER; KLYASHTORNY, NATALIE; NOCHUMSON, ALAN</t>
  </si>
  <si>
    <t>1937 RIDGE AVENUE</t>
  </si>
  <si>
    <t>M0444 - LISTED-HRNG CONSERVATOR ACT: 06-22094206 HEARING SCHEDULED FOR 02-15-23 AT 1:30 P.M. IN COURTROOM 453, CITY HALL.</t>
  </si>
  <si>
    <t>2022-11-02 11:57:00</t>
  </si>
  <si>
    <t>HUSSEIN, RAZAN; UNKNOWN HEIRS OF SAMUEL WILMER HARRIS</t>
  </si>
  <si>
    <t>1826 N 27TH STREET</t>
  </si>
  <si>
    <t>AFDVT - AFFIDAVIT OF SERVICE FILED: AFFIDAVIT OF SERVICE OF NOTICE; PETITION W EXHIBITS; OTSC UPON WELLS FARGO USA HOLDINGS INC BY CERTIFIED MAIL ON 12/16/2022 FILED. (FILED ON BEHALF OF PHILADELPHIA COMMUNITY DEVELOPMENT COALITION INC)</t>
  </si>
  <si>
    <t>2019-05-03 17:58:00</t>
  </si>
  <si>
    <t>PHILADELPHIA COMMUNITY DEVELOPMENT CORPORATION, IN</t>
  </si>
  <si>
    <t>ALDERFER, SARAH</t>
  </si>
  <si>
    <t>THOMAS, JOSEPH E</t>
  </si>
  <si>
    <t>2507 MASTER</t>
  </si>
  <si>
    <t>2022-11-30 12:39:00</t>
  </si>
  <si>
    <t>PHILADELPHIA COMMUNITY GROWTH, INC VS AHMAD ETAL</t>
  </si>
  <si>
    <t>PHILADELPHIA COMMUNITY GROWTH INC</t>
  </si>
  <si>
    <t>AHMAD, SABINA</t>
  </si>
  <si>
    <t>1936 S CROSKEY</t>
  </si>
  <si>
    <t>M0462 - LISTED-STAT CONF CONSERVATOR: 67-22117467 HEARING SCHEDULED FOR 01-31-23 AT 10:30 A.M. IN COURTROOM 453, CITY HALL.</t>
  </si>
  <si>
    <t>2022-10-14 13:50:00</t>
  </si>
  <si>
    <t>PHILADELPHIA COMMUNITY GROWTH, INC VS KNOWN HEIR O</t>
  </si>
  <si>
    <t>KNOWN HEIR OF MARTHA OMALLEY, JOSEPH J; UNKNOWN HEIRS OF MARTHA OMALLEY</t>
  </si>
  <si>
    <t>2800 CANTRELL</t>
  </si>
  <si>
    <t>PRSUB - PRAECIPE-SUBSTITUTE/ATTACH: PRAECIPE TO ADD LIENHOLDERS FILED. (FILED ON BEHALF OF PHILADELPHIA COMMUNITY GROWTH INC)</t>
  </si>
  <si>
    <t>2022-12-01 11:56:00</t>
  </si>
  <si>
    <t>PHILADELPHIA COMMUNITY GROWTH, INC VS LUTZ ETAL</t>
  </si>
  <si>
    <t>LUTZ, GEORGE F; LUTZ, KATHLEEN R</t>
  </si>
  <si>
    <t>1409 S 29TH STREET</t>
  </si>
  <si>
    <t>M0462 - LISTED-STAT CONF CONSERVATOR: 25-22120125 HEARING SCHEDULED FOR 01-31-23 AT 11:30 A.M. IN COURTROOM 453, CITY HALL.</t>
  </si>
  <si>
    <t>2022-09-02 17:18:00</t>
  </si>
  <si>
    <t>PHILADELPHIA COMMUNITY GROWTH, INC VS POLNER GROUP</t>
  </si>
  <si>
    <t>POLNER GROUP LLC</t>
  </si>
  <si>
    <t>1246-56 S 17TH STREET</t>
  </si>
  <si>
    <t>M0444 - LISTED-HRNG CONSERVATOR ACT: 39-22090639 HEARING SCHEDULED FOR 02-21-23 AT 9:30 A.M. IN COURTROOM 453, CITY HALL.</t>
  </si>
  <si>
    <t>2022-12-02 11:45:00</t>
  </si>
  <si>
    <t>PHILADELPHIA COMMUNITY GROWTH, INC VS ROMEO ETAL</t>
  </si>
  <si>
    <t>ROMEO, JAMES; UNKNOWN HEIRS OF JOSEPH V ROMEO</t>
  </si>
  <si>
    <t>1939 MCKEAN</t>
  </si>
  <si>
    <t>MTASN - MOTION ASSIGNED: 69-22120469 PET-APPT CONSERVATOR-ACT 135 ASSIGNED TO JUDGE: JUDGE, CONSERVATORSHIP . ON DATE: DECEMBER 06, 2022</t>
  </si>
  <si>
    <t>2022-11-14 10:25:00</t>
  </si>
  <si>
    <t>PHILADELPHIA COMMUNITY GROWTH, INC VS UNKNOWN HEIR</t>
  </si>
  <si>
    <t>UNKNOWN HEIRS OF JOSEPH EDWARD ROULHAC</t>
  </si>
  <si>
    <t>1231 S 27TH STREET</t>
  </si>
  <si>
    <t>MAILR - RETURNED MAIL RECEIVED: RETURNED MAIL ORDER DATED 11/23/22 AS UNDELIVERABLE AT THE ADDRESS ON FILE WITH THE COURT TO THE FOLLOWING PARTY: UNKNOWN HEIRS OF JOSEPH EDWARD ROULHAC.</t>
  </si>
  <si>
    <t>2022-07-29 10:59:00</t>
  </si>
  <si>
    <t xml:space="preserve">PHILADELPHIA COMMUNITY GROWTH, INC. VS 2300 ALTER </t>
  </si>
  <si>
    <t>MCILHINNEY, MICHAEL P; PFIRRMAN, JOHN ROBERT; TONER, PAUL J; TURNER JR, FRANK L</t>
  </si>
  <si>
    <t>2300 ALTER LLC</t>
  </si>
  <si>
    <t>LATTANZE, ANASTASIA K; VANDERSLICE, RICHARD L</t>
  </si>
  <si>
    <t>2011 FEDERAL STREET</t>
  </si>
  <si>
    <t>ACCOS - ACCEPTANCE OF SERVICE FILED: SERVICE OF PETITION FOR CONSERVATOR ACCEPTED BY RICHARD L VANDERSLICE ON 01/04/2023 FILED. (FILED ON BEHALF OF 2300 ALTER LLC)</t>
  </si>
  <si>
    <t>2022-08-03 16:09:00</t>
  </si>
  <si>
    <t>2013 FEDERAL STREET</t>
  </si>
  <si>
    <t>2021-11-22 11:35:00</t>
  </si>
  <si>
    <t xml:space="preserve">PHILADELPHIA COMMUNITY GROWTH, INC. VS 2403 GRAYS </t>
  </si>
  <si>
    <t>PFIRRMAN, JOHN ROBERT; TONER, PAUL J</t>
  </si>
  <si>
    <t>2403 GRAYS FERRY ASSOCIATES LP</t>
  </si>
  <si>
    <t>2403 GRAYS FERRY AVENUE</t>
  </si>
  <si>
    <t>LISPR - RELEASE OF LIS PENDENS FILED: PRAECIPE TO RELEASE LIS PENDENS AS TO PREMISES 2403 GRAYS FERRY AVENUE, PHILADELPHIA, PA 19146 FILED.</t>
  </si>
  <si>
    <t>2022-03-14 17:09:00</t>
  </si>
  <si>
    <t>PHILADELPHIA COMMUNITY GROWTH, INC. VS CURRAN ETAL</t>
  </si>
  <si>
    <t>CURRAN, JOAN C</t>
  </si>
  <si>
    <t>2602 CATHARINE STREET</t>
  </si>
  <si>
    <t>PRSDE - PRAEC/SETTLE DISCONTINUE END: SETTLED VIA S D &amp; E PRAECIPE FILED. (FILED ON BEHALF OF PHILADELPHIA COMMUNITY GROWTH INC)</t>
  </si>
  <si>
    <t>2022-02-28 11:57:00</t>
  </si>
  <si>
    <t>PHILADELPHIA COMMUNITY GROWTH, INC. VS DU ETAL</t>
  </si>
  <si>
    <t>DU, EVON</t>
  </si>
  <si>
    <t>1408 CASTLE AVENUE</t>
  </si>
  <si>
    <t>LISPR - RELEASE OF LIS PENDENS FILED: PRAECIPE TO RELEASE LIS PENDENS AS TO PREMISES 1408 CASTLE AVENUE, PHILADELPHIA FILED. (FILED ON BEHALF OF PHILADELPHIA COMMUNITY GROWTH INC)</t>
  </si>
  <si>
    <t>2022-09-09 09:35:00</t>
  </si>
  <si>
    <t>PHILADELPHIA COMMUNITY GROWTH, INC. VS JABY HOLDIN</t>
  </si>
  <si>
    <t>MCILHINNEY, MICHAEL P; TONER, PAUL J; TURNER JR, FRANK L</t>
  </si>
  <si>
    <t>JABY HOLDING COMPANY</t>
  </si>
  <si>
    <t>4225 LANCASTER AVENUE</t>
  </si>
  <si>
    <t>2022-05-18 14:45:00</t>
  </si>
  <si>
    <t>PHILADELPHIA COMMUNITY GROWTH, INC. VS JESSIE M. D</t>
  </si>
  <si>
    <t>JESSIE M DAVIS ADMINISTRATRIX OF JOSEPH ROULHAC ESTATE</t>
  </si>
  <si>
    <t>2021-11-01 16:29:00</t>
  </si>
  <si>
    <t>PHILADELPHIA COMMUNITY GROWTH, INC. VS SHEILA HARD</t>
  </si>
  <si>
    <t>SHEILA HARDY KNOWN HEIR OF FANNIE B RAMSEY; STAGGERS-FIELDS, JACQUELINE M; UNKNOWN HEIRS OF FANNIE B RAMSEY</t>
  </si>
  <si>
    <t>2247 CATHARINE STREET</t>
  </si>
  <si>
    <t>M0462 - LISTED-STAT CONF CONSERVATOR: 22-21110422 HEARING SCHEDULED FOR 11-08-22 AT 3:30 P.M. IN COURTROOM 453, CITY HALL.</t>
  </si>
  <si>
    <t>2022-10-20 10:25:00</t>
  </si>
  <si>
    <t>PHILADELPHIA CONSERVATORSHIP ASSOCIATION VS WILLIA</t>
  </si>
  <si>
    <t>PHILADELPHIA CONSERVATORSHIP ASSOCIATION</t>
  </si>
  <si>
    <t>MCILHINNEY, MICHAEL P; ROSS, ANDREW S; TONER, PAUL J</t>
  </si>
  <si>
    <t>MAILR - RETURNED MAIL RECEIVED: RETURNED MAIL ORDER DATED 11/23/22 AS UNDELIVERABLE AT THE ADDRESS ON FILE WITH THE COURT TO THE FOLLOWING PARTY: PHILADELPHIA TRAFFIC COURT.</t>
  </si>
  <si>
    <t>2021-09-24 11:53:00</t>
  </si>
  <si>
    <t xml:space="preserve">PHILADELPHIA CONSERVATORSHIP ASSOCIATION, INC. VS </t>
  </si>
  <si>
    <t>PHILADELPHIA CONSERVATORSHIP ASSOCIATION INC</t>
  </si>
  <si>
    <t>DENENBERG, DAVID H; PFIRRMAN, JOHN ROBERT; TONER, PAUL J</t>
  </si>
  <si>
    <t>MEDALLION INVESTMENTS INC</t>
  </si>
  <si>
    <t>3968 MOUNT VERNON STREET</t>
  </si>
  <si>
    <t>LISPR - RELEASE OF LIS PENDENS FILED: PRAECIPE TO RELEASE LIS PENDENS AS TO PREMISES 3968 MOUNT VERNON STREET, PHILADELPHIA, PA 19104 FILED.</t>
  </si>
  <si>
    <t>2022-03-07 14:16:00</t>
  </si>
  <si>
    <t>PFIRRMAN, JOHN ROBERT</t>
  </si>
  <si>
    <t>PRIME HOME PHILLY LLC</t>
  </si>
  <si>
    <t>4623 LOCUST</t>
  </si>
  <si>
    <t>ZR236 - NOTICE GIVEN UNDER RULE 236: NOTICE GIVEN ON 03-JUN-2022 OF ORDER ENTERED - FINAL DISPOS ENTERED ON 03-JUN-2022.</t>
  </si>
  <si>
    <t>Agreement reached</t>
  </si>
  <si>
    <t>2022-05-02 14:40:00</t>
  </si>
  <si>
    <t>BONETA, CHRISTINE; BONETA, DIANA; BONETA, ROBERT; BONETA, VICTOR; UNKNOWN HEIRS OF ANGELES BONETA</t>
  </si>
  <si>
    <t>1619 N 03RD STREET</t>
  </si>
  <si>
    <t>M0444 - LISTED-HRNG CONSERVATOR ACT: 46-22050346 HEARING SCHEDULED FOR 02-13-23 AT 9:30 A.M. IN COURTROOM 453, CITY HALL.</t>
  </si>
  <si>
    <t>2022-05-31 11:26:00</t>
  </si>
  <si>
    <t>PFIRRMAN, JOHN ROBERT; TONER, PAUL J; TURNER JR, FRANK L</t>
  </si>
  <si>
    <t>MCKENZIE, MARLA; MCKENZIE, MILDRED</t>
  </si>
  <si>
    <t>4815 CHESTNUT STREET</t>
  </si>
  <si>
    <t>PRSDE - PRAEC/SETTLE DISCONTINUE END: SETTLED VIA S D &amp; E PRAECIPE FILED. (FILED ON BEHALF OF PHILADELPHIA CONSERVATORSHIP ASSOCIATION INC)
ENTRY OF APPEARANCE FILED ON BEHALF OF PHILADELPHIA CONSERVATORSHIP ASSOCIATION INC.</t>
  </si>
  <si>
    <t>2022-06-14 11:24:00</t>
  </si>
  <si>
    <t>DOUGLAS, DANIELLE</t>
  </si>
  <si>
    <t>BOOKER, VAUGHN A</t>
  </si>
  <si>
    <t>4813 CHESTNUT STREET</t>
  </si>
  <si>
    <t>PRSDE - PRAEC/SETTLE DISCONTINUE END: SETTLED VIA S D &amp; E PRAECIPE FILED. (FILED ON BEHALF OF PHILADELPHIA CONSERVATORSHIP ASSOCIATION INC)</t>
  </si>
  <si>
    <t>2014-03-27 22:39:00</t>
  </si>
  <si>
    <t>PHILADELPHIA HOUSING IMPROVEMENT PROJECT NONPROFIT</t>
  </si>
  <si>
    <t>PHILADELPHIA HOUSING IMPROVEMENT PROJECT</t>
  </si>
  <si>
    <t>CALEB, MAE H</t>
  </si>
  <si>
    <t>HENIGAN, PATRICK T; MARTIN, MARY-KATE</t>
  </si>
  <si>
    <t>3415 HAMILTON</t>
  </si>
  <si>
    <t>ZR236 - NOTICE GIVEN UNDER RULE 236: NOTICE GIVEN ON 22-AUG-2014 OF ORDER ENTERED - FINAL DISPOS ENTERED ON 21-AUG-2014.</t>
  </si>
  <si>
    <t>NA</t>
  </si>
  <si>
    <t>2013-12-03 17:03:00</t>
  </si>
  <si>
    <t>PHILADELPHIA HOUSING IMPROVEMENT PROJECT VS BONK E</t>
  </si>
  <si>
    <t>BONK, JOHN K</t>
  </si>
  <si>
    <t>SHLAMOWITZ, LEE M</t>
  </si>
  <si>
    <t>DISPO - DISPOSED -  CASE CLOSED: 58-13120558   PETITION TO APPOINT CONSERVATOR - ACT 135 PETITION WITHDRAWN AS PER WITHDRAW FILED 3/25/14 AT 14:01 BY PETITIONER, JASON RABINOVICH, ESQUIRE.</t>
  </si>
  <si>
    <t>Discontinued without conservator (withdrawn)</t>
  </si>
  <si>
    <t>2014-02-06 10:07:00</t>
  </si>
  <si>
    <t>PHILADELPHIA HOUSING IMPROVEMENT PROJECT VS LISS E</t>
  </si>
  <si>
    <t>LISS, BETTY</t>
  </si>
  <si>
    <t>608 N UNION STREET</t>
  </si>
  <si>
    <t>PRSDE - PRAEC/SETTLE DISCONTINUE END: PRACIPE TO DISCONTINUE AND END FILED ON 9/4/2014.   ... JPE/CAO</t>
  </si>
  <si>
    <t>2018-05-23 15:44:00</t>
  </si>
  <si>
    <t>PHILLYDEEDS, LLC VS ANNETTE PHILLIPS, ADMINISTRATO</t>
  </si>
  <si>
    <t>PHILLYDEEDS LLC</t>
  </si>
  <si>
    <t>MCILHINNEY, MICHAEL P; WISE, COREN J</t>
  </si>
  <si>
    <t>ANNETTE PHILLIPS ADMINISTRATOR ESTATE OF HENRY NAYLOR</t>
  </si>
  <si>
    <t>2532 N 18TH STREET</t>
  </si>
  <si>
    <t>JDORF - JUDGMENT-COURT ORDER FINAL DIS: PRAECIPE FOR ENTRY OF JUDGMENT FILED. 
CERTIFICATE OF SERVICE FILED. NOTICE UNDER RULE 236. 
JUDGMENT IS ENTERED IN FAVOR OF PHILLYDEEDS LLC AND AGAINST ANNETTE PHILLIPS ADMINISTRATOR ESTATE OF HENRY NAYLOR IN THE AMOUNT OF $37,991.87 ON THE COURT ORDER DATED 06/21/2021.</t>
  </si>
  <si>
    <t>Conservator appointed and fees ordered</t>
  </si>
  <si>
    <t>2017-01-31 15:17:00</t>
  </si>
  <si>
    <t>PLAZA AMERICANA, INC. VS FILITI ETAL</t>
  </si>
  <si>
    <t>PLAZA AMERICANA INC</t>
  </si>
  <si>
    <t>ALL UNKNOWN HEIRS; DALTO, LOUIS; FILITI, ANTHONY J</t>
  </si>
  <si>
    <t>2500-26 N AMERICAN STREET</t>
  </si>
  <si>
    <t>PRSDE - PRAEC/SETTLE DISCONTINUE END: SETTLED VIA S D &amp; E PRAECIPE FILED. (FILED ON BEHALF OF PLAZA AMERICANA, INC.)</t>
  </si>
  <si>
    <t>Discontinued without conservator</t>
  </si>
  <si>
    <t>2017-11-22 15:41:00</t>
  </si>
  <si>
    <t>PPCJ, LLC VS PUGH ETAL</t>
  </si>
  <si>
    <t>PPCJ LLC</t>
  </si>
  <si>
    <t>LISPR - RELEASE OF LIS PENDENS FILED: PRAECIPE TO RELEASE LIS PENDENS AS TO PREMISES 1117 MONTROSE, PHILADELPHIA FILED. (FILED ON BEHALF OF PPCJ LLC)</t>
  </si>
  <si>
    <t xml:space="preserve">Discontinued without conservator </t>
  </si>
  <si>
    <t>2016-11-23 13:07:00</t>
  </si>
  <si>
    <t>PRTNS CO VS THE ESTATE OF LUCIANO ROMAN ETAL</t>
  </si>
  <si>
    <t>PRTNS COMPANY</t>
  </si>
  <si>
    <t>CARMEN ROMAN, ADMINISTRATOR; ROMAN ESTATE OF, LUCIANO</t>
  </si>
  <si>
    <t>1605 GERMANTOWN AVENUE</t>
  </si>
  <si>
    <t>LISPR - RELEASE OF LIS PENDENS FILED: PRAECIPE TO RELEASE LIS PENDENS AS TO PREMISES 1605 GERMANTOWN AVENUE, PHILADELPHIA FILED. (FILED ON BEHALF OF PRTNS CO)</t>
  </si>
  <si>
    <t>Settled (agreement to sell the property)</t>
  </si>
  <si>
    <t>2022-07-01 15:25:00</t>
  </si>
  <si>
    <t>QUATRE MANAGEMENT LLC VS BROWN ETAL</t>
  </si>
  <si>
    <t>QUATRE MANAGEMENT LLC</t>
  </si>
  <si>
    <t>BROWN, CATHERINE Z; HEIRS, ALL UNKNOWN</t>
  </si>
  <si>
    <t>1427-1429 W ERIE</t>
  </si>
  <si>
    <t>M0462 - LISTED-STAT CONF CONSERVATOR: 98-22070398 HEARING SCHEDULED FOR 02-14-23 AT 1:30 P.M. IN COURTROOM 453, CITY HALL.</t>
  </si>
  <si>
    <t>2016-04-22 12:21:00</t>
  </si>
  <si>
    <t>RAUM ETAL VS CORNISH ETAL</t>
  </si>
  <si>
    <t>RAUM, JOSEPHINE; RAUM, LELAND</t>
  </si>
  <si>
    <t>CORNISH JR., FRANK; UNKNOWN HEIRS OF FRANK H. CORNISH</t>
  </si>
  <si>
    <t>1936 WHARTON STREET</t>
  </si>
  <si>
    <t>M0378 - CORRECTION TO JUDGMENT INDEX: CORRECTION TO LOCALITY INDEX: LIS PENDENS VACATED PURSUANT TO COURT ORDER DATED 03/21/2017</t>
  </si>
  <si>
    <t>2022-09-26 10:11:00</t>
  </si>
  <si>
    <t>RAZA ETAL VS SEAWOLF, LLC ETAL</t>
  </si>
  <si>
    <t>CANTY-BUNDY, LOUISE; RAZA, RAHIL</t>
  </si>
  <si>
    <t>SEAWOLF LLC</t>
  </si>
  <si>
    <t>1320-22 N SMEDLEY STREET</t>
  </si>
  <si>
    <t>M0462 - LISTED-STAT CONF CONSERVATOR: 43-22094243 HEARING SCHEDULED FOR 02-15-23 AT 9:30 A.M. IN COURTROOM 453, CITY HALL.</t>
  </si>
  <si>
    <t>2016-12-27 11:58:00</t>
  </si>
  <si>
    <t>RAZA VS DAKU ETAL</t>
  </si>
  <si>
    <t>RAZA, RAHIL</t>
  </si>
  <si>
    <t>DAKU, BUJAR</t>
  </si>
  <si>
    <t>DIMMERMAN, HARPER J</t>
  </si>
  <si>
    <t>1405 S 21ST</t>
  </si>
  <si>
    <t>ZR236 - NOTICE GIVEN UNDER RULE 236: NOTICE GIVEN ON 22-SEP-2017 OF ORDER ENTERED - FINAL DISPOS ENTERED ON 21-SEP-2017.</t>
  </si>
  <si>
    <t>2012-06-06 16:52:00</t>
  </si>
  <si>
    <t>RAZA VS DOFFNEY ETAL</t>
  </si>
  <si>
    <t>DOFFNEY, RICHARD</t>
  </si>
  <si>
    <t>SCHWARTZ, WILLIAM G; SEIDMAN, DAVID</t>
  </si>
  <si>
    <t>2030 REED STREET</t>
  </si>
  <si>
    <t>ZR236 - NOTICE GIVEN UNDER RULE 236: NOTICE GIVEN ON 23-OCT-2012 OF ORDER ENTERED/236 NOTICE GIVEN ENTERED ON 22-OCT-2012.</t>
  </si>
  <si>
    <t>2012-06-06 12:19:00</t>
  </si>
  <si>
    <t>RAZA VS WILSON ETAL</t>
  </si>
  <si>
    <t>WILSON, CHARLENE</t>
  </si>
  <si>
    <t>2026 REED STREET</t>
  </si>
  <si>
    <t>DISPO - DISPOSED -  CASE CLOSED: 00-12081900   SEE ORDERED DOCKETED UNDER SAID CONTROL NUMBER GRANTING RESPONDENT'S MOTION TO DISMSS.</t>
  </si>
  <si>
    <t>2016-05-25 12:33:00</t>
  </si>
  <si>
    <t>RAZADOSI PROPERTIES LLC VS NIXON ETAL</t>
  </si>
  <si>
    <t>RAZADOSI PROPERTIES LLC</t>
  </si>
  <si>
    <t>NIXON, APRIL</t>
  </si>
  <si>
    <t>1323 N 19TH ST</t>
  </si>
  <si>
    <t>M0378 - CORRECTION TO JUDGMENT INDEX: CORRECTION TO LOCALITY INDEX: LIS PENDENS VACATED PURSUANT TO COURT ORDER DATED 12/21/2016. REMOVED FROM THE INDEX ON 12/29/2016</t>
  </si>
  <si>
    <t>2016-05-25 12:32:00</t>
  </si>
  <si>
    <t>RAZADOSI PROPERTIES LLC VS THOMAS E. WOODARD AND A</t>
  </si>
  <si>
    <t>WOODARD AND ALL UNKNOWN HEIRS, THOMAS E</t>
  </si>
  <si>
    <t>1321 N 19TH ST</t>
  </si>
  <si>
    <t>AFDVT - AFFIDAVIT OF SERVICE FILED: AFFIDAVIT OF SERVICE OF PLAINTIFF'S COMPLAINT UPON THOMAS E. WOODARD AND ALL UNKNOWN HEIRS BY PERSONAL SERVICE ON 06/09/2016 FILED. (FILED ON BEHALF OF RAZADOSI PROPERTIES LLC)</t>
  </si>
  <si>
    <t>2014-11-12 22:50:00</t>
  </si>
  <si>
    <t>RECLAIM PHILADELPHIA, INC. VS NAZLOU  ETAL</t>
  </si>
  <si>
    <t>RECLAIM PHILADELPHIA INC</t>
  </si>
  <si>
    <t>NAZLOU, FARROKH S</t>
  </si>
  <si>
    <t>ZRDSC - PRAECIPE TO DISCONTINUE: SEE PETITION WITHDRAWN FILED ON 1/22/15.</t>
  </si>
  <si>
    <t>2014-01-15 16:56:00</t>
  </si>
  <si>
    <t>REDEVELOPMENT AUTHORITY OF THE CITY OF PHILADELPHI</t>
  </si>
  <si>
    <t>REDEVELOPMENT AUTHORITY OF THE CITY OF PHILADELPHIA</t>
  </si>
  <si>
    <t>FRIEDLANDER, ANDREW P; HARMON, RYAN D; KERN, LAURA W; SCAFIDI, NICHOLAS J; VARGHESE, SUSAN</t>
  </si>
  <si>
    <t>GORDON, DAVID K</t>
  </si>
  <si>
    <t>3589 NOTTINGHAM LANE</t>
  </si>
  <si>
    <t>ZR236 - NOTICE GIVEN UNDER RULE 236: NOTICE GIVEN ON 01-JUN-2016 OF ORDER ENTERED/236 NOTICE GIVEN ENTERED ON 31-MAY-2016.</t>
  </si>
  <si>
    <t>Settled (agreement of sale approved)</t>
  </si>
  <si>
    <t>2021-04-15 16:56:00</t>
  </si>
  <si>
    <t>REGAN VS DOAN ETAL</t>
  </si>
  <si>
    <t>REGAN, KEITH</t>
  </si>
  <si>
    <t>DOAN, QUOC T</t>
  </si>
  <si>
    <t>YOUNG ESQ, KENNETH A</t>
  </si>
  <si>
    <t>778 S 18TH</t>
  </si>
  <si>
    <t>PRSDE - PRAEC/SETTLE DISCONTINUE END: SETTLED VIA S D &amp; E PRAECIPE FILED. (FILED ON BEHALF OF KEITH REGAN)</t>
  </si>
  <si>
    <t>2021-07-08 14:12:00</t>
  </si>
  <si>
    <t>REGAN VS POTEAT, JR. ETAL</t>
  </si>
  <si>
    <t>LACEY POTEAT JR AS EXECUTOR OF THE ESTATE OF MARY POTEAT; POTEAT JR, LACEY</t>
  </si>
  <si>
    <t>1913 CATHARINE STREET</t>
  </si>
  <si>
    <t>2014-08-14 16:19:00</t>
  </si>
  <si>
    <t>ROBINSON VS SANCHEZ ETAL</t>
  </si>
  <si>
    <t>ROBINSON, JUDY</t>
  </si>
  <si>
    <t>SANCHEZ, CARLOS</t>
  </si>
  <si>
    <t>323, 325, 327 W GIRARD AVENUE</t>
  </si>
  <si>
    <t>PRSDE - PRAEC/SETTLE DISCONTINUE END: SETTLED VIA S D &amp; E PRAECIPE FILED. (FILED ON BEHALF OF JUDY ROBINSON)</t>
  </si>
  <si>
    <t>2014-08-14 16:21:00</t>
  </si>
  <si>
    <t>2014-08-14 16:23:00</t>
  </si>
  <si>
    <t>2012-07-30 17:02:00</t>
  </si>
  <si>
    <t>ROSENBLUM VS ESTATE OF CATHERINE COCHETTI ETAL</t>
  </si>
  <si>
    <t>ROSENBLUM, MARJORIE SUSAN</t>
  </si>
  <si>
    <t>COCHETTI, CATHERINE; COCHETTI ESTATE OF, CATHERINE</t>
  </si>
  <si>
    <t>1140 GERRITT STREET</t>
  </si>
  <si>
    <t>012422200</t>
  </si>
  <si>
    <t>LISPR - RELEASE OF LIS PENDENS FILED: PRAECIPE TO RELEASE LIS PENDENS AS TO PREMISES 1140 GERRITT , PHILADELPHIA FILED. (FILED ON BEHALF OF MARJORIE SUSAN ROSENBLUM)</t>
  </si>
  <si>
    <t>2021-09-07 14:03:00</t>
  </si>
  <si>
    <t>ROZIER VS MAROSH, LLC ETAL</t>
  </si>
  <si>
    <t>ROZIER, GERRON D</t>
  </si>
  <si>
    <t>ALMIDANI, MARWAH; MAROSH LLC</t>
  </si>
  <si>
    <t>GROSS, JAMES N</t>
  </si>
  <si>
    <t>6001 N WOODSTOCK STREET</t>
  </si>
  <si>
    <t>M0415 - CHANGE OF ADDRESS: MARWAH ALMIDANI ADDRESS UPDATED BY POSTAL NOTIFICATION....DOCUMENT REMAILED ON 12-21-22</t>
  </si>
  <si>
    <t>2021-01-13 12:37:00</t>
  </si>
  <si>
    <t>SABIR VS LE REAL ESTATE LLC</t>
  </si>
  <si>
    <t>SABIR, KHADIJAH</t>
  </si>
  <si>
    <t>LE REAL ESTATE LLC</t>
  </si>
  <si>
    <t>6814-20 OLD YORK ROAD</t>
  </si>
  <si>
    <t>2016-03-23 14:57:00</t>
  </si>
  <si>
    <t>SABO VS CY 4 LLC</t>
  </si>
  <si>
    <t>ZNODI - DISPOSED-NO DOCKET ACTIVITY</t>
  </si>
  <si>
    <t>SABO JR, STEPHEN</t>
  </si>
  <si>
    <t>CY 4 LLC</t>
  </si>
  <si>
    <t>ZNODI - DISPOSED-NO DOCKET ACTIVITY: THIS MATTER IS ADMINISTRATIVELY CLOSED DUE TO DOCKET INACTIVITY OF MORE THAN 24 MONTHS.</t>
  </si>
  <si>
    <t>2016-03-23 15:01:00</t>
  </si>
  <si>
    <t>SABO VS HARCUM</t>
  </si>
  <si>
    <t>SABO JR., STEPHEN</t>
  </si>
  <si>
    <t>HARCUM, JOAN M</t>
  </si>
  <si>
    <t>1421 POINT BREEZE AVENUE</t>
  </si>
  <si>
    <t>2016-03-23 14:50:00</t>
  </si>
  <si>
    <t>SABO VS ISHAAN CONSTRUCTION CO., LLC</t>
  </si>
  <si>
    <t>ISHAAN CONSTRUCTION COMPANY LLC</t>
  </si>
  <si>
    <t>1307 POINT BREEZE AVENUE</t>
  </si>
  <si>
    <t>2016-03-23 15:04:00</t>
  </si>
  <si>
    <t>SABO VS KEITT</t>
  </si>
  <si>
    <t>KEITT, LEROY</t>
  </si>
  <si>
    <t>1427 POINT BREEZE AVENUE</t>
  </si>
  <si>
    <t>2016-03-23 14:53:00</t>
  </si>
  <si>
    <t>SABO VS PHILLIPS-SIMMONS REAL ESTATE</t>
  </si>
  <si>
    <t>PHILLIPS-SIMMONS REAL ESTATE</t>
  </si>
  <si>
    <t>2016-03-23 14:46:00</t>
  </si>
  <si>
    <t>SABO VS VOLKENS ETAL</t>
  </si>
  <si>
    <t>VOLKENS, ANGELO P; VOLKENS, GREGORY P</t>
  </si>
  <si>
    <t>1166 DORRANCE ST</t>
  </si>
  <si>
    <t>2021-03-01 12:58:00</t>
  </si>
  <si>
    <t>SAINT VLADIMIR UKRANIAN ORTHODOX CHURCH OF PHILADE</t>
  </si>
  <si>
    <t>CLDBR - DEFERRED - BANKRUPTCY</t>
  </si>
  <si>
    <t>SAINT VLADIMIR UKRANIAN ORTHODOX CHURCH OF PHILADELPHIA</t>
  </si>
  <si>
    <t>ALDERFER, SARAH; MCILHINNEY, MICHAEL P; PFIRRMAN, JOHN ROBERT; TONER, PAUL J</t>
  </si>
  <si>
    <t>SAUNDERS, STANLEY J</t>
  </si>
  <si>
    <t>SALAMAN, DREW; THOMAS, JOSHUA L</t>
  </si>
  <si>
    <t>500 INDEPENDENCE STREET</t>
  </si>
  <si>
    <t>MTREI - MOTION TO REINSTATE: 32-23013432 RESPONSE DATE 02/09/2023. (FILED ON BEHALF OF SAINT VLADIMIR UKRANIAN ORTHODOX CHURCH OF PHILADELPHIA)</t>
  </si>
  <si>
    <t xml:space="preserve">Active </t>
  </si>
  <si>
    <t>2015-07-30 11:21:00</t>
  </si>
  <si>
    <t xml:space="preserve">SARTAIN MANAGEMENT PARTNERS, LP VS P&amp;A AFFORDABLE </t>
  </si>
  <si>
    <t>SARTAIN MANAGEMENT PARTNERS LP</t>
  </si>
  <si>
    <t>ABRAMS, WILLIE; P&amp;A AFFORDABLE HOMES CORPORATION, C/O AGENTS AND CORPORATION</t>
  </si>
  <si>
    <t>SMITH, DAVID</t>
  </si>
  <si>
    <t>3008 W CABOT STREET</t>
  </si>
  <si>
    <t>ORDRF - ORDER ENTERED - FINAL DISPOS: SEE ORDER DATED 1/13/2016 BY JUDGE NEW.   JPE/CAO</t>
  </si>
  <si>
    <t>2015-07-30 15:55:00</t>
  </si>
  <si>
    <t>SARTAIN MANAGEMENT PARTNERS, LP VS PONE ETAL</t>
  </si>
  <si>
    <t>PONE, BRENDA S</t>
  </si>
  <si>
    <t>MARTIN, MARY-KATE; SMITH, DAVID</t>
  </si>
  <si>
    <t>3010 W CABOT STREET</t>
  </si>
  <si>
    <t>ORDRF - ORDER ENTERED - FINAL DISPOS: SEE ORDER DATED 1/13/2016 BY JUDGE NEW.   JPE/CAO 2/8/2016</t>
  </si>
  <si>
    <t>2021-05-27 15:37:00</t>
  </si>
  <si>
    <t>SCIOLI TURCO INC. VS CAIN ETAL</t>
  </si>
  <si>
    <t>SCIOLI TURCO INC</t>
  </si>
  <si>
    <t>CAIN, STEPHANIE</t>
  </si>
  <si>
    <t>749 S MARVINE</t>
  </si>
  <si>
    <t>022319000</t>
  </si>
  <si>
    <t>MAILR - RETURNED MAIL RECEIVED: RETURNED MAIL ORDER DATED 8/2/21 AS UNDELIVERABLE AT THE ADDRESS ON FILE WITH THE COURT TO THE FOLLOWING PARTY: STEPHANIE CAIN</t>
  </si>
  <si>
    <t>2021-06-02 17:08:00</t>
  </si>
  <si>
    <t>SCIOLI TURCO INC. VS JUNG ETAL</t>
  </si>
  <si>
    <t>JUNG, DOUGLAS J; JUNG, PEGGY N</t>
  </si>
  <si>
    <t>4730 LONGSHORE AVENUE</t>
  </si>
  <si>
    <t>054009000</t>
  </si>
  <si>
    <t>ZR236 - NOTICE GIVEN UNDER RULE 236: NOTICE GIVEN ON 24-SEP-2021 OF ORDER ENTERED - FINAL DISPOS ENTERED ON 24-SEP-2021.</t>
  </si>
  <si>
    <t>2016-05-10 08:47:00</t>
  </si>
  <si>
    <t>SCIOLI TURCO VS BERK ETAL</t>
  </si>
  <si>
    <t>SCIOLI TURCO</t>
  </si>
  <si>
    <t>BERK, DOLORES</t>
  </si>
  <si>
    <t>1007 MCKEAN STREET</t>
  </si>
  <si>
    <t>AFDVT - AFFIDAVIT OF SERVICE FILED: AFFIDAVIT OF SERVICE OF MARCH 6, 2017 ORDER UPON DOLORES BERK BY CERTIFIED MAIL,FIRST CLASS REGULAR MAIL ON 03/08/2017 FILED. (FILED ON BEHALF OF SCIOLI TURCO)</t>
  </si>
  <si>
    <t>2016-04-22 13:33:00</t>
  </si>
  <si>
    <t>SCIOLI TURCO VS CILIONE</t>
  </si>
  <si>
    <t>CILIONE, VALERIE A</t>
  </si>
  <si>
    <t>1942 S BOUVIER STREET</t>
  </si>
  <si>
    <t>ZR236 - NOTICE GIVEN UNDER RULE 236: NOTICE GIVEN ON 08-AUG-2016 OF ORDER ENTERED - FINAL DISPOS ENTERED ON 05-AUG-2016.</t>
  </si>
  <si>
    <t>2019-04-18 16:12:00</t>
  </si>
  <si>
    <t>SCIOLI TURCO, INC VS ABI-SALLOUM ETAL</t>
  </si>
  <si>
    <t>ABI-SALLOUM, ANTOINE</t>
  </si>
  <si>
    <t>WARD, SHAWN D</t>
  </si>
  <si>
    <t>923 FEDERAL STREET</t>
  </si>
  <si>
    <t>021245400</t>
  </si>
  <si>
    <t>ZR236 - NOTICE GIVEN UNDER RULE 236: NOTICE GIVEN ON 05-APR-2021 OF ORDER ENTERED - FINAL DISPOS ENTERED ON 05-APR-2021.</t>
  </si>
  <si>
    <t>2020-03-02 10:22:00</t>
  </si>
  <si>
    <t>SCIOLI TURCO, INC VS DO ETAL</t>
  </si>
  <si>
    <t>DO, BINH VAN</t>
  </si>
  <si>
    <t>LAMBERT ESQUIRE, MICHAEL CHRISTOPHER</t>
  </si>
  <si>
    <t>6809 TORRESDALE</t>
  </si>
  <si>
    <t>081105750</t>
  </si>
  <si>
    <t>ZR236 - NOTICE GIVEN UNDER RULE 236: NOTICE GIVEN ON 26-FEB-2021 OF ORDER ENTERED - FINAL DISPOS ENTERED ON 25-FEB-2021.</t>
  </si>
  <si>
    <t>2015-02-26 11:23:00</t>
  </si>
  <si>
    <t>SCIOLI TURCO, INC VS DOAN ETAL</t>
  </si>
  <si>
    <t>778 S 18TH STREET</t>
  </si>
  <si>
    <t>LISPR - RELEASE OF LIS PENDENS FILED: PRAECIPE TO RELEASE LIS PENDENS AS TO PREMISES 778 S 18TH STREET, PHILADELPHIA FILED. (FILED ON BEHALF OF SCIOLI TURCO, INC)</t>
  </si>
  <si>
    <t>2021-03-16 20:52:00</t>
  </si>
  <si>
    <t>SCIOLI TURCO, INC VS GARDINER ETAL</t>
  </si>
  <si>
    <t>M0238 - LISTED FOR ORAL ARGUMENTS</t>
  </si>
  <si>
    <t>GARDINER, ANTOINE</t>
  </si>
  <si>
    <t>DENENBERG, DAVID H</t>
  </si>
  <si>
    <t>1101 N 40TH STREET</t>
  </si>
  <si>
    <t>MAILR - RETURNED MAIL RECEIVED: RETURNED MAIL ORDER DATED 04/29/22 AS UNDELIVERABLE AT THE ADDRESS ON FILE WITH THE COURT TO THE FOLLOWING PARTY: TAJA REIZE.</t>
  </si>
  <si>
    <t>2021-03-16 22:41:00</t>
  </si>
  <si>
    <t>SCIOLI TURCO, INC VS GERMANTOWN APARTMENT, LLC  ET</t>
  </si>
  <si>
    <t>GERMANTOWN APARTMENT LLC</t>
  </si>
  <si>
    <t>BARSKY, ADAM P; KATZ, JEFFREY</t>
  </si>
  <si>
    <t>25, 27, 29 E SCHOOL HOUSE LANE</t>
  </si>
  <si>
    <t>PRSDE - PRAEC/SETTLE DISCONTINUE END: SETTLED VIA S D &amp; E PRAECIPE FILED. (FILED ON BEHALF OF SCIOLI TURCO INC)</t>
  </si>
  <si>
    <t>2019-05-14 15:39:00</t>
  </si>
  <si>
    <t>SCIOLI TURCO, INC VS GSS TOURS, INC ETAL</t>
  </si>
  <si>
    <t>GSS TOURS; GSS TOURS INC; PANNELLA, LOUIS; PIERRON, THOMAS</t>
  </si>
  <si>
    <t>6807 TORRESDALE</t>
  </si>
  <si>
    <t>ORDRF - ORDER ENTERED - FINAL DISPOS: 45-19051845 IT IS HEREBY ORDERED AND DECREED THAT PETITIONER'S PETITION FOR THE APPOINTMENT OF A CONSERVATOR IS DISMISSED, WITHOUT PREJUDICE, AS THE PETITIONER IN THIS ACTION HAS FAILED TO ATTACH A TITLE REPORT AND HAS FAILED TO ADDRESS THE MORTGAGE FROM FIRST PENNSYLVANIA BANK NA. IT IS FURTHER ORDERED AND DECREED THAT THE LIS PENDENS ON THE PROPERTY LOCATED AT 6807 TORRESDALE AVENUE, PHILADELPHIA, PA IS HEREBY LIFTED. ...BY THE COURT: NEW, JUDGE 06/20/2019</t>
  </si>
  <si>
    <t>2019-08-01 12:20:00</t>
  </si>
  <si>
    <t>SCIOLI TURCO, INC VS GSS TOURS, INC.  ETAL</t>
  </si>
  <si>
    <t>GSS TOURS AND GSS TOURS INC; GSS TOURS INC; PANNELLA, LOUIS A; PIERRON, THOMAS</t>
  </si>
  <si>
    <t>DISPO - DISPOSED -  CASE CLOSED: 14-19080214  SEE ORDER ENTERED UNDER SAID CONTROL NUMBER TEMINATING THE CONSERVATORSHIP ACTION.</t>
  </si>
  <si>
    <t>2021-03-18 19:30:00</t>
  </si>
  <si>
    <t>SCIOLI TURCO, INC VS SCOTT ETAL</t>
  </si>
  <si>
    <t>SCOTT, DONALD; SCOTT, JAMES B</t>
  </si>
  <si>
    <t>614 MARKLE</t>
  </si>
  <si>
    <t>MAILR - RETURNED MAIL RECEIVED: RETURNED MAIL ORDER DATED 06/01/22 AS UNDELIVERABLE AT THE ADDRESS ON FILE WITH THE COURT TO THE FOLLOWING PARTY: LVNV FUNDING LLC.</t>
  </si>
  <si>
    <t>2016-10-14 13:44:00</t>
  </si>
  <si>
    <t>SCIOLI TURCO, INC.  ETAL VS CASE ETAL</t>
  </si>
  <si>
    <t>KROMER, JOHN; SCIOLI TURCO INC</t>
  </si>
  <si>
    <t>CASE, ANDREA M; CASE JR., ARTHUR M</t>
  </si>
  <si>
    <t>528 WESTVIEW STREET</t>
  </si>
  <si>
    <t>PRSDE - PRAEC/SETTLE DISCONTINUE END: SETTLED VIA S D &amp; E PRAECIPE FILED. (FILED ON BEHALF OF SCIOLI TURCO, INC.)</t>
  </si>
  <si>
    <t>2018-08-28 12:58:00</t>
  </si>
  <si>
    <t>SCIOLI TURCO, INC.  VS BRAUDE ETAL</t>
  </si>
  <si>
    <t>BRAUDE, RICHARD</t>
  </si>
  <si>
    <t>STRAMPELLO, JOSEPH</t>
  </si>
  <si>
    <t>2019 S OPAL STREET</t>
  </si>
  <si>
    <t>ZR236 - NOTICE GIVEN UNDER RULE 236: NOTICE GIVEN ON 11-OCT-2019 OF ORDER ENTERED - FINAL DISPOS ENTERED ON 11-OCT-2019.</t>
  </si>
  <si>
    <t>2016-10-17 12:40:00</t>
  </si>
  <si>
    <t>SCIOLI TURCO, INC.  VS SIMMONS ETAL</t>
  </si>
  <si>
    <t>SIMMONS, CURTIS R</t>
  </si>
  <si>
    <t>SPEYER, DEBRA G</t>
  </si>
  <si>
    <t>1004 S 20TH STREET</t>
  </si>
  <si>
    <t>LISPR - RELEASE OF LIS PENDENS FILED: PRAECIPE TO RELEASE LIS PENDENS AS TO PREMISES 1004 S 20TH STREET, PHILADELPHIA FILED. (FILED ON BEHALF OF SCIOLI TURCO, INC.)</t>
  </si>
  <si>
    <t>2015-08-13 16:05:00</t>
  </si>
  <si>
    <t>SCIOLI TURCO, INC.  VS WOOTEN ETAL</t>
  </si>
  <si>
    <t>MEYER, GEORGE; WILLIAMS, DELLA; WOOTEN, BENJAMIN</t>
  </si>
  <si>
    <t>1214 S 17TH STREET</t>
  </si>
  <si>
    <t>M0606 - AGREEMENT OF SALE APPROVED: 53-16021953 PETITION SCIOLI TURCO AND THE DELLA WILLIAMS TRUSTEE STIPULATE AS FOLLOWS:  1.  THE PARTIES AGREE TO RESOLVE THE ABOVE CAPTIONED PETITION FOR APPOINTMENT OF A CONSERVATOR PURSUANT TO THE ABANDONED AND BLIGHTED PROPERTY CONSERVATORSHIP ACT, 68 P.S. 1101 ET SEQ REGARDING 1214 SOUTH 17TH STREET, PHILADELPHIA, PA, BY MUTUAL RELEASE FOR THE MUTUAL CONSIDERATION REPRESENTED BY THE FOLLOWING TERMS.  2.  DELLA WILLIAMS HEREBY CONFIRMS THAT BENJAMIN WOOTEN AND GEORGE MEYER ARE DECEASED.  3.  DELLA WILLIAMS HEREBY CONFIRMS THAT NO SUCCESSOR TRUSTEES HAVE BEEN APPOINTED.  4.  DELLA WILLIAMS HEREBY AGREES THAT SCIOLI TURCO, INC MAY ENTER INTO AGREEMENT S AND EXECUTE THE DOCUMENTS NECESSARY TO EFFECT THE DALE DESCRIBED HEREIN AND WILL COOPERATE WITH ANY OTHER DOCUMENTS THAT NEED TO BE SIGNED.  5.  THE PARTIES AGREE THAT RESPONDENT WILL SELL PREMISES, INITIALLY LISTING THE PROPERTY FOR ONE HUNDRED AND FIFTY THOUSAND DOLLARS($150,000.00).  6.  THE PARTIES AGREE THAT WITHIN FIVE (5) DAYS OF THE DOCKETING OF THIS STIPULATION PETITIONER SHALL FILE AN ORDER TO MARK THE MATTER SETTLED, DISCONTINUED AND ENDED WITHOUT PREJUDICE AND FILE A PRAECIPE TO RELEASE THE LIS PENDENS WITH THE PROTHONOTARY.  7.  AT THE CLOSING RESPONDENT AGREES TO PAY PETITIONER THE STATUTORY CONSERVATOR FEE AND FOR THE REASONABLE ATTORNEY FEES INCURRED IN THE FILING OF THE PETITION AND CONSERVATOR'S FEE OF 20% OF THE SALE PRICE AS OUTLINED IN 68 P.S. 1103 AND 1109 AS "COSTS OF REHABILITATION."  SEE STIPULATION FOR FURTHER DETAILS.   ...IT IS SO ORDERED, BY THE COURT; FOX, J. 2-11-16</t>
  </si>
  <si>
    <t>2019-08-08 12:26:00</t>
  </si>
  <si>
    <t>SCIOLI TURCO, INC. ETAL VS GARRETT ETAL</t>
  </si>
  <si>
    <t>KAUFMAN, ROBERT; SCIOLI TURCO INC</t>
  </si>
  <si>
    <t>GARRETT, CHYRAN</t>
  </si>
  <si>
    <t>LUCAS, AUSTIN M</t>
  </si>
  <si>
    <t>7030 CLEARVIEW STREET</t>
  </si>
  <si>
    <t>PRSDE - PRAEC/SETTLE DISCONTINUE END: SETTLED VIA S D &amp; E PRAECIPE FILED. (FILED ON BEHALF OF ROBERT KAUFMAN AND SCIOLI TURCO INC)</t>
  </si>
  <si>
    <t>2021-01-21 12:04:00</t>
  </si>
  <si>
    <t xml:space="preserve">SCIOLI TURCO, INC. ETAL VS PHILADELPHIA &amp; READING </t>
  </si>
  <si>
    <t>RMEDC - NOT OF REMOVAL TO US DIST CT</t>
  </si>
  <si>
    <t>915 SPRING GARDEN ASSOCIATES LP; SCIOLI TURCO INC</t>
  </si>
  <si>
    <t>PHILADELPHIA &amp; READING RAILROAD COMPANY; READING INTERNATIONAL INC</t>
  </si>
  <si>
    <t>SOVEN, ANDREW J</t>
  </si>
  <si>
    <t>901 SPRING GARDEN STREET</t>
  </si>
  <si>
    <t>RMEDC - NOT OF REMOVAL TO US DIST CT: NOTICE OF REMOVAL TO THE U.S. (EASTERN) DISTRICT COURT UNDER 2:21-CV-00563. (FILED ON BEHALF OF READING INTERNATIONAL INC AND PHILADELPHIA &amp; READING RAILROAD COMPANY)</t>
  </si>
  <si>
    <t>Removed to Federal Court</t>
  </si>
  <si>
    <t>2013-07-08 16:04:00</t>
  </si>
  <si>
    <t>SCIOLI TURCO, INC. VS  WEATHERBE ETAL</t>
  </si>
  <si>
    <t>WEATHERBE, VERNON</t>
  </si>
  <si>
    <t>1748 S MOLE STREET</t>
  </si>
  <si>
    <t>ZR236 - NOTICE GIVEN UNDER RULE 236: NOTICE GIVEN ON 09-OCT-2014 OF ORDER ENTERED - FINAL DISPOS ENTERED ON 06-OCT-2014.</t>
  </si>
  <si>
    <t>2022-03-29 16:42:00</t>
  </si>
  <si>
    <t>SCIOLI TURCO, INC. VS 627 S. 49TH STREET, LLC ETAL</t>
  </si>
  <si>
    <t>2014-09-15 20:59:00</t>
  </si>
  <si>
    <t>SCIOLI TURCO, INC. VS ABI-SALLOUM ETAL</t>
  </si>
  <si>
    <t>LISPR - RELEASE OF LIS PENDENS FILED: PRAECIPE TO RELEASE LIS PENDENS AS TO PREMISES 923 FEDERAL STREET, PHILADELPHIA FILED. (FILED ON BEHALF OF SCIOLI TURCO, INC.)</t>
  </si>
  <si>
    <t>2015-04-24 09:06:00</t>
  </si>
  <si>
    <t>SCIOLI TURCO, INC. VS ACORN HOLDING COMPANY C/O ED</t>
  </si>
  <si>
    <t>ACORN HOLDING COMPANY C/O EDWARD JARASZ</t>
  </si>
  <si>
    <t>4545 EAST THOMPSON STREET</t>
  </si>
  <si>
    <t>LISPR - RELEASE OF LIS PENDENS FILED: PRAECIPE TO RELEASE LIS PENDENS AS TO PREMISES 4545 E THOMPSON STREET, PHILADELPHIA FILED. (FILED ON BEHALF OF SCIOLI TURCO, INC.)</t>
  </si>
  <si>
    <t>Conservator appointed and then discontinued because "the goal of the conservatorship has been accomplished"</t>
  </si>
  <si>
    <t>2012-04-24 15:07:00</t>
  </si>
  <si>
    <t>SCIOLI TURCO, INC. VS ALVEARIO ETAL</t>
  </si>
  <si>
    <t>ALVEARIO, ANTHONY</t>
  </si>
  <si>
    <t>1020 MONTROSE STREET</t>
  </si>
  <si>
    <t>021048700</t>
  </si>
  <si>
    <t>2014-04-12 14:59:00</t>
  </si>
  <si>
    <t>SCIOLI TURCO, INC. VS BARNES  ETAL</t>
  </si>
  <si>
    <t>M0254 - DISCONTINUED/TRANSFERED TO ADR</t>
  </si>
  <si>
    <t>BARNES, ACEY; BENSON-BARNES, VONDA</t>
  </si>
  <si>
    <t>1754 DORRANCE STREET</t>
  </si>
  <si>
    <t>ZR236 - NOTICE GIVEN UNDER RULE 236: NOTICE GIVEN ON 27-OCT-2014 OF DISCONTINUED/TRANSFERED TO ADR ENTERED ON 24-OCT-2014.</t>
  </si>
  <si>
    <t>2022-09-07 10:42:00</t>
  </si>
  <si>
    <t>SCIOLI TURCO, INC. VS BEDNAREK ETAL</t>
  </si>
  <si>
    <t>BEDNAREK, MICHAEL</t>
  </si>
  <si>
    <t>2600 ORTHODOX STREET</t>
  </si>
  <si>
    <t>M0444 - LISTED-HRNG CONSERVATOR ACT: 06-22091206 HEARING SCHEDULED FOR 01-30-23 AT 10:30 A.M. IN COURTROOM 453, CITY HALL.</t>
  </si>
  <si>
    <t>2013-11-04 16:24:00</t>
  </si>
  <si>
    <t>SCIOLI TURCO, INC. VS BIANTORO ETAL</t>
  </si>
  <si>
    <t>BIANTORO, WIKI</t>
  </si>
  <si>
    <t>1727-1731 SNYDER AVENUE</t>
  </si>
  <si>
    <t>LISPR - RELEASE OF LIS PENDENS FILED: PRAECIPE TO RELEASE LIS PENDENS AS TO PREMISES 1727-31 SNYDER AVENUE, PHILADELPHIA FILED. (FILED ON BEHALF OF SCIOLI TURCO, INC.)</t>
  </si>
  <si>
    <t>2013-11-05 11:42:00</t>
  </si>
  <si>
    <t>BIANTORO, WIKI; ZEINOUN, ALFRED E</t>
  </si>
  <si>
    <t>MARTIN, MARY-KATE; QUINN JD, ANTHONY B</t>
  </si>
  <si>
    <t>2036 BOUVIER</t>
  </si>
  <si>
    <t>ENAPP - ENTRY OF APPEARANCE: ENTRY OF APPEARANCE OF MARY-KATE BRESLIN FILED. (FILED ON BEHALF OF CITY OF PHILADELPHIA)</t>
  </si>
  <si>
    <t>2015-06-18 16:27:00</t>
  </si>
  <si>
    <t>SCIOLI TURCO, INC. VS BILES ETAL</t>
  </si>
  <si>
    <t>BILES, ANNA M</t>
  </si>
  <si>
    <t>814 WHARTON STREET</t>
  </si>
  <si>
    <t>012194600</t>
  </si>
  <si>
    <t>2015-07-03 09:54:00</t>
  </si>
  <si>
    <t>SCIOLI TURCO, INC. VS BOGAN ETAL</t>
  </si>
  <si>
    <t>BOGAN, DAVID</t>
  </si>
  <si>
    <t>3215 MEMPHIS STREET</t>
  </si>
  <si>
    <t>PRATT - PRAECIPE TO SUPPL/ATTACH FILED: 33-15070533 PRAECIPE TO SUPPLEMENT/ATTACH RE: PET-APPT CONSERVATOR-ACT 135 FILED. (FILED ON BEHALF OF SCIOLI TURCO, INC.)</t>
  </si>
  <si>
    <t>2015-05-15 15:10:00</t>
  </si>
  <si>
    <t>SCIOLI TURCO, INC. VS BONK ETAL</t>
  </si>
  <si>
    <t>LEVY, BART E; MARTIN, MARY-KATE</t>
  </si>
  <si>
    <t>056199200</t>
  </si>
  <si>
    <t>LISPR - RELEASE OF LIS PENDENS FILED: PRAECIPE TO RELEASE LIS PENDENS AS TO PREMISES 830 N 4TH STREET, PHILADELPHIA FILED. (FILED ON BEHALF OF SCIOLI TURCO, INC.)</t>
  </si>
  <si>
    <t>2015-03-20 15:50:00</t>
  </si>
  <si>
    <t>SCIOLI TURCO, INC. VS BOONE ETAL</t>
  </si>
  <si>
    <t>BOONE, WILBUR</t>
  </si>
  <si>
    <t>1424 S 18TH STREET</t>
  </si>
  <si>
    <t>2022-01-19 15:14:00</t>
  </si>
  <si>
    <t>SCIOLI TURCO, INC. VS CAMPBELL ETAL</t>
  </si>
  <si>
    <t>ALL UNKNOWN HEIRS; CAMPBELL, WARREN</t>
  </si>
  <si>
    <t>6703-6703R N 11TH STREET</t>
  </si>
  <si>
    <t>MAILR - RETURNED MAIL RECEIVED: RETURNED MAIL ORDER DATED 08/19/22 AS UNDELIVERABLE AT THE ADDRESS ON FILE WITH THE COURT TO THE FOLLOWING PARTY: WARREN CAMPBELL.</t>
  </si>
  <si>
    <t xml:space="preserve">Active, conservator appointed, </t>
  </si>
  <si>
    <t>2016-01-08 15:42:00</t>
  </si>
  <si>
    <t>SCIOLI TURCO, INC. VS CHINATOWN BUILDING AND EDUCA</t>
  </si>
  <si>
    <t>CHINATOWN BUILDING AND EDUCATIONAL FOUNDATION</t>
  </si>
  <si>
    <t>COHEN, FAYE R; FINGERHUT, PAMELA S; WATSON, DEANNA E</t>
  </si>
  <si>
    <t>125 N 10TH STREET</t>
  </si>
  <si>
    <t>ENAPP - ENTRY OF APPEARANCE: ENTRY OF APPEARANCE OF DEANNA E WATSON FILED. (FILED ON BEHALF OF SCIOLI TURCO, INC.)</t>
  </si>
  <si>
    <t>2014-02-07 15:27:00</t>
  </si>
  <si>
    <t>SCIOLI TURCO, INC. VS COOK ETAL</t>
  </si>
  <si>
    <t>1312 S BANCROFT STREET</t>
  </si>
  <si>
    <t>ZR236 - NOTICE GIVEN UNDER RULE 236: NOTICE GIVEN ON 10-JUL-2014 OF STIPULATION APPROVED ENTERED ON 10-JUL-2014.</t>
  </si>
  <si>
    <t>2013-04-23 11:14:00</t>
  </si>
  <si>
    <t>SCIOLI TURCO, INC. VS COURY ETAL</t>
  </si>
  <si>
    <t>COURY, MARTHA</t>
  </si>
  <si>
    <t>SHARIFF, MOHAMMED IRFAN</t>
  </si>
  <si>
    <t>1230 S 13TH STREET</t>
  </si>
  <si>
    <t>021613500</t>
  </si>
  <si>
    <t>ZR236 - NOTICE GIVEN UNDER RULE 236: NOTICE GIVEN ON 20-MAY-2015 OF ORDER ENTERED/236 NOTICE GIVEN ENTERED ON 14-MAY-2015.</t>
  </si>
  <si>
    <t>2016-07-01 12:07:00</t>
  </si>
  <si>
    <t>COURY, MARTHA JANE</t>
  </si>
  <si>
    <t>ZRDSC - PRAECIPE TO DISCONTINUE: ORDER TO DISCONTINUE WITHOUT PREJUDICE FILED. (FILED ON BEHALF OF SCIOLI TURCO, INC.)</t>
  </si>
  <si>
    <t>2013-06-28 08:46:00</t>
  </si>
  <si>
    <t>SCIOLI TURCO, INC. VS EDWARDS ETAL</t>
  </si>
  <si>
    <t>EDWARDS, JANENE</t>
  </si>
  <si>
    <t>1340 S 16TH STREET</t>
  </si>
  <si>
    <t>ZR236 - NOTICE GIVEN UNDER RULE 236: NOTICE GIVEN ON 20-AUG-2014 OF ORDER ENTERED - FINAL DISPOS ENTERED ON 20-AUG-2014.</t>
  </si>
  <si>
    <t>Deemed blighted, conditional relief granted, remediated, terminated</t>
  </si>
  <si>
    <t>2022-02-14 17:10:00</t>
  </si>
  <si>
    <t>SCIOLI TURCO, INC. VS ELLIS ETAL</t>
  </si>
  <si>
    <t>ELLIS, EDWARD E</t>
  </si>
  <si>
    <t>5245 WALTON AVENUE</t>
  </si>
  <si>
    <t>M0462 - LISTED-STAT CONF CONSERVATOR: 35-22023435   HEARING SCHEDULED FOR 2/3/23 AT 2:30 IN 453 PER JUDGE'S RULE ISSUED 12/16/22</t>
  </si>
  <si>
    <t>2022-01-26 16:59:00</t>
  </si>
  <si>
    <t>SCIOLI TURCO, INC. VS ESTATE OF CHARLES WELCH ETAL</t>
  </si>
  <si>
    <t>HANNON, COLLEEN MARIE; WELCH ESTATE OFCHARLES; WELCH ESTATE OFROSELLA</t>
  </si>
  <si>
    <t>TUCHINSKY, DMITRY</t>
  </si>
  <si>
    <t>2144 E NORRIS STREET</t>
  </si>
  <si>
    <t>2022-03-31 11:42:00</t>
  </si>
  <si>
    <t>SCIOLI TURCO, INC. VS ESTATE OF COLLIE HOLDEN ETAL</t>
  </si>
  <si>
    <t>ALL UNKNOWN HEIRS; BROWN, TIARA; HOLDEN ESTATE OF, COLLIE; HOLDEN ESTATE OF, ELLEN; HOLDEN JR, COLLIE</t>
  </si>
  <si>
    <t>1335 S HICKS STREET</t>
  </si>
  <si>
    <t>M0462 - LISTED-STAT CONF CONSERVATOR: 17-22036217 HEARING SCHEDULED FOR 02-16-23 AT 10:30 A.M. IN COURTROOM 453, CITY HALL.</t>
  </si>
  <si>
    <t>2012-12-10 22:51:00</t>
  </si>
  <si>
    <t>SCIOLI TURCO, INC. VS ESTATE OF EMMA DOMIT  ETAL</t>
  </si>
  <si>
    <t>DOMIT ESTATE OF C/O DEBORA STINGER, MARIANA; DOMIT ESTATE OF C/O DEBORA STINGER, THERESA; DOMIT ESTATE OF C/O JOSHUA LEVIN, MARIANA; DOMIT ESTATE OF C/O JOSHUA LEVIN, THERESA; DOMIT ESTATE OF C/O LATEFFIE COIA, MARIANA; DOMIT ESTATE OF C/O LATEFFIE COIA, THERESA; DOMIT ESTATE OF, EMMA; DOMIT ESTATE OF, JOSEPH; DOMIT, SADIE; DOMIT, SELMA</t>
  </si>
  <si>
    <t>1230 ELLSWORTH STREET</t>
  </si>
  <si>
    <t>021206400</t>
  </si>
  <si>
    <t>2013-01-06 12:26:00</t>
  </si>
  <si>
    <t>SCIOLI TURCO, INC. VS ESTATE OF HAZEL ALLEN, HAZEL</t>
  </si>
  <si>
    <t>ALLEN ESTATE OF HAZELITA HAYES EXECUTRIX, HAZEL</t>
  </si>
  <si>
    <t>1342 S 16TH STREET</t>
  </si>
  <si>
    <t>PRATT - PRAECIPE TO SUPPL/ATTACH FILED: 08-13010708 PRAECIPE TO SUPPLEMENT/ATTACH RE: PET-APPT CONSERVATOR-ACT 135 FILED. (FILED ON BEHALF OF SCIOLI TURCO, INC.)</t>
  </si>
  <si>
    <t>2022-12-23 10:14:00</t>
  </si>
  <si>
    <t>SCIOLI TURCO, INC. VS ESTATE OF WILLIAM E.J. WIXTE</t>
  </si>
  <si>
    <t>EARLY, STEPHANIE; MOROCCO, MELISSA; WIXTED, CATHERINE; WIXTED ESTATE OF, SUSAN M; WIXTED ESTATE OF WILLIAM, WILLIAM EJ</t>
  </si>
  <si>
    <t>10938 MODENA PLACE</t>
  </si>
  <si>
    <t>MTASN - MOTION ASSIGNED: 67-22124767 PET-APPT CONSERVATOR-ACT 135 ASSIGNED TO JUDGE: JUDGE, CONSERVATORSHIP . ON DATE: DECEMBER 27, 2022</t>
  </si>
  <si>
    <t>2015-12-18 15:36:00</t>
  </si>
  <si>
    <t>SCIOLI TURCO, INC. VS EVERBANK COMMERCIAL FINANCE,</t>
  </si>
  <si>
    <t>EVERBANK COMMERCIAL FINANCE INC</t>
  </si>
  <si>
    <t>LITTLE, KRISTEN D</t>
  </si>
  <si>
    <t>1301 WAKELING</t>
  </si>
  <si>
    <t>ZR236 - NOTICE GIVEN UNDER RULE 236: NOTICE GIVEN ON 08-OCT-2019 OF ORDER ENTERED - FINAL DISPOS ENTERED ON 08-OCT-2019.</t>
  </si>
  <si>
    <t>2016-04-13 16:04:00</t>
  </si>
  <si>
    <t>SCIOLI TURCO, INC. VS FELIX P. SUGINT, JR., EXR OF</t>
  </si>
  <si>
    <t>SUGINT JR.EXECUTOR ESTATE OF ELEANOR L SUGINT, FELIX P; SUGINT SR, FELIX P</t>
  </si>
  <si>
    <t>3246 RYAN AVE</t>
  </si>
  <si>
    <t>ZR236 - NOTICE GIVEN UNDER RULE 236: NOTICE GIVEN ON 13-NOV-2018 OF ORDER ENTERED - FINAL DISPOS ENTERED ON 09-NOV-2018.</t>
  </si>
  <si>
    <t xml:space="preserve">Settled </t>
  </si>
  <si>
    <t>2016-12-05 10:43:00</t>
  </si>
  <si>
    <t>SCIOLI TURCO, INC. VS FENG ETAL</t>
  </si>
  <si>
    <t>DOU DENG, YA; FENG JIN, CHAO</t>
  </si>
  <si>
    <t>BERGER, PHILLIP D; TAYLOR 626, WILLIAM JON HENRY</t>
  </si>
  <si>
    <t>2601 S 18TH STREET</t>
  </si>
  <si>
    <t>ZR236 - NOTICE GIVEN UNDER RULE 236: NOTICE GIVEN ON 22-AUG-2018 OF ORDER ENTERED/236 NOTICE GIVEN ENTERED ON 17-AUG-2018.</t>
  </si>
  <si>
    <t>2016-06-27 14:45:00</t>
  </si>
  <si>
    <t>SCIOLI TURCO, INC. VS FLOSSIE HOLMES AND ALL UNKNO</t>
  </si>
  <si>
    <t>FLOSSIE HOLMES AND ALL UNKNOWN HEIRS</t>
  </si>
  <si>
    <t>4253 VIOLA STREET</t>
  </si>
  <si>
    <t>062215800</t>
  </si>
  <si>
    <t>2016-12-21 11:33:00</t>
  </si>
  <si>
    <t>SCIOLI TURCO, INC. VS FRANCIS ETAL</t>
  </si>
  <si>
    <t>FRANCIS, JOHANNA M.L.</t>
  </si>
  <si>
    <t>FELLHEIMER, ALAN S; KARAPELOU, DIMITRI L; KIRSCH, JOSHUA L; ZWOLAK, JAMES J</t>
  </si>
  <si>
    <t>232 S 03RD STREET</t>
  </si>
  <si>
    <t>051062710</t>
  </si>
  <si>
    <t>MAILR - RETURNED MAIL RECEIVED: RETURNED MAIL ORDER DATED 08/31/18 AS UNDELIVERABLE AT THE ADDRESS ON FILE WITH THE COURT TO THE FOLLOWING PARTY: MORGAN STANLEY CREDIT CORPORATION.</t>
  </si>
  <si>
    <t>2021-12-30 17:00:00</t>
  </si>
  <si>
    <t>SCIOLI TURCO, INC. VS GIBBY ETAL</t>
  </si>
  <si>
    <t>ALL UNKNOWN HEIRS; GIBBY, BRUCE WARD</t>
  </si>
  <si>
    <t>WHITE, LEO T</t>
  </si>
  <si>
    <t>5112-5114 GERMANTOWN AVENUE</t>
  </si>
  <si>
    <t>M0462 - LISTED-STAT CONF CONSERVATOR: 56-22010056   HEARING SCHEDULED FOR 2/10/23 AT 9:30 IN 453 PER JUDG'S RULE ISSUED 12/16/22</t>
  </si>
  <si>
    <t>2016-04-12 18:06:00</t>
  </si>
  <si>
    <t>SCIOLI TURCO, INC. VS GNE PROPERTIES II, INC. ETAL</t>
  </si>
  <si>
    <t>GNE PROPERTIES II INC</t>
  </si>
  <si>
    <t>2634 E THOMPSON ST</t>
  </si>
  <si>
    <t>LISPR - RELEASE OF LIS PENDENS FILED: PRAECIPE TO RELEASE LIS PENDENS AS TO PREMISES 2634 E THOMPSON STREET, PHILADELPHIA FILED. (FILED ON BEHALF OF SCIOLI TURCO, INC.)</t>
  </si>
  <si>
    <t>2022-11-18 14:33:00</t>
  </si>
  <si>
    <t>SCIOLI TURCO, INC. VS GOTHAM PROPERTIES, LLC ETAL</t>
  </si>
  <si>
    <t>GOTHAM PROPERTIES LLC</t>
  </si>
  <si>
    <t>MCELHATTON, DANIEL P</t>
  </si>
  <si>
    <t>843 ALMOND STREET</t>
  </si>
  <si>
    <t>ANCOM - ANSWER TO COMPLAINT FILED: ANSWER WITH NEW MATTER TO PLAINTIFF'S COMPLAINT FILED. (FILED ON BEHALF OF GOTHAM PROPERTIES LLC)</t>
  </si>
  <si>
    <t>2015-02-26 14:14:00</t>
  </si>
  <si>
    <t>SCIOLI TURCO, INC. VS GRAVES ETAL</t>
  </si>
  <si>
    <t>GRAVES, HAZELAN F</t>
  </si>
  <si>
    <t>1422 S 18TH STREET</t>
  </si>
  <si>
    <t>DISPO - DISPOSED -  CASE CLOSED: PETITION WITHDRAWN 7/6/2015.   ... BY THE COURT: NEW, J. 7/14/2015</t>
  </si>
  <si>
    <t>2015-06-22 12:24:00</t>
  </si>
  <si>
    <t>SCIOLI TURCO, INC. VS GREAT PHILLY HOMES, LLC ETAL</t>
  </si>
  <si>
    <t>GREAT PHILLY HOMES LLC</t>
  </si>
  <si>
    <t>1403 S 18TH STREET</t>
  </si>
  <si>
    <t>ZR236 - NOTICE GIVEN UNDER RULE 236: NOTICE GIVEN ON 20-APR-2016 OF ORDER ENTERED/236 NOTICE GIVEN ENTERED ON 20-APR-2016.</t>
  </si>
  <si>
    <t>2016-02-03 16:55:00</t>
  </si>
  <si>
    <t>SCIOLI TURCO, INC. VS HOLLIDAY ETAL</t>
  </si>
  <si>
    <t>HOLDEN, ALBERT; HOLDEN, MATTIE; HOLDEN, WILLIAM EUGENE; HOLLIDAY, ADDIE</t>
  </si>
  <si>
    <t>1910 CARPENTER STREET</t>
  </si>
  <si>
    <t>AFDVT - AFFIDAVIT OF SERVICE FILED: AFFIDAVIT OF SERVICE OF NOTICE PETITION AND ORDER UPON ASSISTANT GENERAL COUNSEL, PHILADELPHIA GAS WORKS BY CERTIFIED MAIL ON 04/11/2016 FILED.</t>
  </si>
  <si>
    <t>2022-08-12 11:20:00</t>
  </si>
  <si>
    <t>SCIOLI TURCO, INC. VS HOLMAN ETAL</t>
  </si>
  <si>
    <t>HOLMAN, CLARK L; UNKNOWN HEIRS</t>
  </si>
  <si>
    <t>5316 GERMANTOWN AVENUE</t>
  </si>
  <si>
    <t>M0462 - LISTED-STAT CONF CONSERVATOR: 91-22082391 HEARING SCHEDULED FOR 03-13-23 AT 1:30 P.M. IN COURTROOM 453, CITY HALL.</t>
  </si>
  <si>
    <t>2021-05-25 11:09:00</t>
  </si>
  <si>
    <t>SCIOLI TURCO, INC. VS IP</t>
  </si>
  <si>
    <t>IP, MONA MO YIN</t>
  </si>
  <si>
    <t>BERNICK, ADAM S</t>
  </si>
  <si>
    <t>6500 HEGERMAN STREET</t>
  </si>
  <si>
    <t>PRATT - PRAECIPE TO SUPPL/ATTACH FILED: 66-21053966 PRAECIPE TO SUPPLEMENT/ATTACH RE: PET-APPT CONSERVATOR-ACT 135 FILED. (FILED ON BEHALF OF MONA MO YIN IP)</t>
  </si>
  <si>
    <t>2016-04-05 13:40:00</t>
  </si>
  <si>
    <t>SCIOLI TURCO, INC. VS JACKSON ETAL</t>
  </si>
  <si>
    <t>AHN DEVELOPMENT LLC; JACKSON, TRACEY M</t>
  </si>
  <si>
    <t>FORD, HOWARD G; MONROE 410, MATTHEW C</t>
  </si>
  <si>
    <t>1506 MANTON ST</t>
  </si>
  <si>
    <t>ORDMN - COURT ORDERED PAYOUT OF ESCROW: check#1620 IN AMOUNT OF $8,004.18 WAS DISBURSED TO SCIOLI TURCO INC</t>
  </si>
  <si>
    <t>2013-07-15 18:20:00</t>
  </si>
  <si>
    <t>SCIOLI TURCO, INC. VS JENKINS ETAL</t>
  </si>
  <si>
    <t>LANGSAM, HENRY I; VANDERSLICE, RICHARD L</t>
  </si>
  <si>
    <t>JENKINS, ALBERT</t>
  </si>
  <si>
    <t>1922 MANTON STREET</t>
  </si>
  <si>
    <t>LISPR - RELEASE OF LIS PENDENS FILED: PRAECIPE TO RELEASE LIS PENDENS AS TO PREMISES 1922 MANTON STREET, PHILADELPHIA FILED. (FILED ON BEHALF OF SCIOLI TURCO, INC.)</t>
  </si>
  <si>
    <t>2018-07-06 22:38:00</t>
  </si>
  <si>
    <t>SCIOLI TURCO, INC. VS KALAZINSKAS ETAL</t>
  </si>
  <si>
    <t>KALAZINSKAS, ALEXANDER</t>
  </si>
  <si>
    <t>528 RITNER STREET</t>
  </si>
  <si>
    <t>ZR236 - NOTICE GIVEN UNDER RULE 236: NOTICE GIVEN ON 16-DEC-2019 OF ORDER ENTERED/236 NOTICE GIVEN ENTERED ON 11-DEC-2019.</t>
  </si>
  <si>
    <t>2015-04-22 10:05:00</t>
  </si>
  <si>
    <t>SCIOLI TURCO, INC. VS KIRBY ETAL</t>
  </si>
  <si>
    <t>KIRBY, STEVEN A; KIRBY, YOLONDA P</t>
  </si>
  <si>
    <t>1430 S. 15TH STREET</t>
  </si>
  <si>
    <t>ZR236 - NOTICE GIVEN UNDER RULE 236: NOTICE GIVEN ON 11-MAY-2015 OF ORDER ENTERED - FINAL DISPOS ENTERED ON 05-MAY-2015.</t>
  </si>
  <si>
    <t>2015-06-26 12:03:00</t>
  </si>
  <si>
    <t>HARRINGTON, DANIEL Q; LONG, SHAWN M; MARTIN, MARY-KATE</t>
  </si>
  <si>
    <t>M0279 - MOTION/PETITION/STIP WITHDRAWN: 30-15063530 PRAECIPE TO WITHDRAW PET-APPT CONSERVATOR-ACT 135 FILED. (FILED ON BEHALF OF SCIOLI TURCO, INC.)</t>
  </si>
  <si>
    <t>2014-02-11 12:49:00</t>
  </si>
  <si>
    <t>SCIOLI TURCO, INC. VS LANDVEST, LLP ETAL</t>
  </si>
  <si>
    <t>LANDVEST LLP</t>
  </si>
  <si>
    <t>HOLLISTER, MICHAEL T</t>
  </si>
  <si>
    <t>ZR236 - NOTICE GIVEN UNDER RULE 236: NOTICE GIVEN ON 10-MAR-2014 OF ORDER ENTERED - FINAL DISPOS ENTERED ON 07-MAR-2014.</t>
  </si>
  <si>
    <t>2019-11-06 11:55:00</t>
  </si>
  <si>
    <t>SCIOLI TURCO, INC. VS LAWRENCE845 LLC ETAL</t>
  </si>
  <si>
    <t>LAWRENCE845 LLC</t>
  </si>
  <si>
    <t>BRADLEY, CHRISTOPHER A; HENIGAN, PATRICK T; SWAIN, ANDREW D</t>
  </si>
  <si>
    <t>845 N LAWRENCE STREET</t>
  </si>
  <si>
    <t>056215600</t>
  </si>
  <si>
    <t>LISPR - RELEASE OF LIS PENDENS FILED: PRAECIPE TO RELEASE LIS PENDENS AS TO PREMISES 845 N LAWRENCE STREET, PHILADELPHIA FILED. (FILED ON BEHALF OF SCIOLI TURCO INC)</t>
  </si>
  <si>
    <t>2013-10-04 15:35:00</t>
  </si>
  <si>
    <t>LEROY, ANDERSON</t>
  </si>
  <si>
    <t>PARKS ESQ, LEONARD R</t>
  </si>
  <si>
    <t>1514 DICKINSON</t>
  </si>
  <si>
    <t>2022-11-28 14:37:00</t>
  </si>
  <si>
    <t>SCIOLI TURCO, INC. VS LISAVETS ETAL</t>
  </si>
  <si>
    <t>LISAVETS, ANDREI</t>
  </si>
  <si>
    <t>M0444 - LISTED-HRNG CONSERVATOR ACT: 63-22117063 HEARING SCHEDULED FOR 02-01-23 AT 2:30 P.M. IN COURTROOM 453, CITY HALL.</t>
  </si>
  <si>
    <t>2014-06-24 11:24:00</t>
  </si>
  <si>
    <t>SCIOLI TURCO, INC. VS LURUBE DEVELOPERS ETAL</t>
  </si>
  <si>
    <t>LURUBE DEVELOPERS</t>
  </si>
  <si>
    <t>HARPER SR, RONALD J; MARTIN, MARY-KATE; REUTER, LEONARD F</t>
  </si>
  <si>
    <t>1700 CHRISTIAN STREET</t>
  </si>
  <si>
    <t>ZR236 - NOTICE GIVEN UNDER RULE 236: NOTICE GIVEN ON 05-OCT-2016 OF ORDER ENTERED/236 NOTICE GIVEN ENTERED ON 04-OCT-2016.</t>
  </si>
  <si>
    <t>2012-11-13 12:37:00</t>
  </si>
  <si>
    <t>SCIOLI TURCO, INC. VS LURUBE DEVELOPERS LLC ETAL</t>
  </si>
  <si>
    <t>LURUBE DEVELOPERS LLC</t>
  </si>
  <si>
    <t>HARPER SR, RONALD J; MARTIN, MARY-KATE</t>
  </si>
  <si>
    <t>2014-09-15 21:42:00</t>
  </si>
  <si>
    <t>SCIOLI TURCO, INC. VS MANZANO ETAL</t>
  </si>
  <si>
    <t>MANZANO, MARIA; MANZANO, SAMUEL</t>
  </si>
  <si>
    <t>1421 DICKENSON ST.</t>
  </si>
  <si>
    <t>PRATT - PRAECIPE TO SUPPL/ATTACH FILED: 46-14092146 PRAECIPE TO SUPPLEMENT/ATTACH RE: PET-APPT CONSERVATOR-ACT 135 FILED. (FILED ON BEHALF OF SCIOLI TURCO, INC.)</t>
  </si>
  <si>
    <t>2016-07-29 17:03:00</t>
  </si>
  <si>
    <t>SCIOLI TURCO, INC. VS MARY KOSTIUK, ADMINISTRATRIX</t>
  </si>
  <si>
    <t>HRYCIW, OLGA; MARY KOSTIUK, ADMINISTRATRIX OF THE ESTATE OF ULANA HRYCIW</t>
  </si>
  <si>
    <t>4821 HOWELL STREET</t>
  </si>
  <si>
    <t>LISPR - RELEASE OF LIS PENDENS FILED: PRAECIPE TO RELEASE LIS PENDENS AS TO PREMISES 4821 HOWELL STREET, PHILADELPHIA FILED. (FILED ON BEHALF OF SCIOLI TURCO, INC.)</t>
  </si>
  <si>
    <t>2020-01-21 15:52:00</t>
  </si>
  <si>
    <t>SCIOLI TURCO, INC. VS MCCUEN ETAL</t>
  </si>
  <si>
    <t>BENOFF, BART; PALAZZO, NICHOLAS L</t>
  </si>
  <si>
    <t>MCCUEN, MICHAEL P</t>
  </si>
  <si>
    <t>CARLETON, MICHAEL E; CONNOR, CRISTINA LYNN; DIETTERICK, SCOTT A; HONG, KIMBERLY J; KOBESKI, JUSTIN; VELTER, KARINA; WOOTERS, MEREDITH</t>
  </si>
  <si>
    <t>7014 HEGERMAN STREET</t>
  </si>
  <si>
    <t>ZRDSC - PRAECIPE TO DISCONTINUE: ORDER TO DISCONTINUE WITHOUT PREJUDICE FILED. (FILED ON BEHALF OF SCIOLI TURCO INC)</t>
  </si>
  <si>
    <t>2020-12-14 16:06:00</t>
  </si>
  <si>
    <t>SCIOLI TURCO, INC. VS MCKEEGAN</t>
  </si>
  <si>
    <t>BERMAN, KENNETH D; GREY, STEPHANIE M; PICCIRILLI, GAETANO P</t>
  </si>
  <si>
    <t>MCKEEGAN, THOMAS J</t>
  </si>
  <si>
    <t>MUKLEWICZ, DANIEL</t>
  </si>
  <si>
    <t>3421R WARDEN DRIVE</t>
  </si>
  <si>
    <t>M0462 - LISTED-STAT CONF CONSERVATOR: 30-20121430 HEARING SCHEDULED FOR 01-26-23 AT 1:30 P.M. IN COURTROOM 453, CITY HALL.</t>
  </si>
  <si>
    <t>2013-01-06 19:35:00</t>
  </si>
  <si>
    <t>SCIOLI TURCO, INC. VS MCNAIR ETAL</t>
  </si>
  <si>
    <t>BOLDEN, STEPHEN R; MARTIN, MARY-KATE; WHITMAN, ALFRED D</t>
  </si>
  <si>
    <t>1907 CHRISTIAN STREET</t>
  </si>
  <si>
    <t>AFDVT - AFFIDAVIT OF SERVICE FILED: AFFIDAVIT OF SERVICE OF PETITION AND NOTICE UPON SHERFON MCNAIR BY PERSONAL SERVICE ON 04/19/2016 FILED.</t>
  </si>
  <si>
    <t>2013-03-02 10:25:00</t>
  </si>
  <si>
    <t>SCIOLI TURCO, INC. VS MCPEAK ETAL</t>
  </si>
  <si>
    <t>MCPEAK, JOHN M</t>
  </si>
  <si>
    <t>WASSER, NANCY D</t>
  </si>
  <si>
    <t>1905 CHRISTIAN STREET</t>
  </si>
  <si>
    <t>LISPR - RELEASE OF LIS PENDENS FILED: PRAECIPE TO RELEASE LIS PENDENS AS TO PREMISES 1905 CHRISTIAN STREET, PHILADELPHIA FILED. (FILED ON BEHALF OF SCIOLI TURCO, INC.)</t>
  </si>
  <si>
    <t>2022-08-03 11:09:00</t>
  </si>
  <si>
    <t>MCPEAK, CARL</t>
  </si>
  <si>
    <t>2420 S WATTS STREET</t>
  </si>
  <si>
    <t>M0462 - LISTED-STAT CONF CONSERVATOR: 46-22080846   HEARING SCHEDULED FOR 2/3/23 AT 10:30 IN 453 PER JUDGE'S RULE ISSUED 12/16/22</t>
  </si>
  <si>
    <t>2012-10-20 14:52:00</t>
  </si>
  <si>
    <t>SCIOLI TURCO, INC. VS NESKO ETAL</t>
  </si>
  <si>
    <t>NESKO, FLORENCE</t>
  </si>
  <si>
    <t>KELLY, CHRISTOPHER P; MURPHY, KEVIN J</t>
  </si>
  <si>
    <t>148 FERNON STREET</t>
  </si>
  <si>
    <t>ZR236 - NOTICE GIVEN UNDER RULE 236: NOTICE GIVEN ON 15-AUG-2014 OF STIPULATION APPROVED ENTERED ON 15-AUG-2014.</t>
  </si>
  <si>
    <t>2017-01-19 13:28:00</t>
  </si>
  <si>
    <t xml:space="preserve">SCIOLI TURCO, INC. VS NEW COVENANT BAPTIST CHURCH </t>
  </si>
  <si>
    <t>NEW COVENANT BAPTIST CHURCH (MISSIONARY)</t>
  </si>
  <si>
    <t>DENENBERG, DAVID H; ULLMAN 751, JOYCE</t>
  </si>
  <si>
    <t>5250 WAYNE AVE.</t>
  </si>
  <si>
    <t>ZRDSC - PRAECIPE TO DISCONTINUE: ORDER TO DISCONTINUE WITH PREJUDICE FILED. (FILED ON BEHALF OF SCIOLI TURCO, INC.)</t>
  </si>
  <si>
    <t>2015-05-11 10:05:00</t>
  </si>
  <si>
    <t>SCIOLI TURCO, INC. VS POWASERYS ETAL</t>
  </si>
  <si>
    <t>BAJAN SOLUTIONS LLC; POWASERYS, WESLEY</t>
  </si>
  <si>
    <t>2958 LIVINGSTON STREET</t>
  </si>
  <si>
    <t>ZR236 - NOTICE GIVEN UNDER RULE 236: NOTICE GIVEN ON 25-NOV-2015 OF ORDER ENTERED - FINAL DISPOS ENTERED ON 24-NOV-2015.</t>
  </si>
  <si>
    <t>2016-01-08 16:18:00</t>
  </si>
  <si>
    <t>BAJAN SOLUTIONS LLC; POWASERYS, CECILIA; POWASERYS, WESLEY</t>
  </si>
  <si>
    <t>ZR236 - NOTICE GIVEN UNDER RULE 236: NOTICE GIVEN ON 20-MAR-2019 OF ORDER ENTERED - FINAL DISPOS ENTERED ON 19-MAR-2019.</t>
  </si>
  <si>
    <t>2013-11-12 16:39:00</t>
  </si>
  <si>
    <t>SCIOLI TURCO, INC. VS PRESTON ETAL</t>
  </si>
  <si>
    <t>BROWN, PRESTON; CAMPBELL ADMINISTRATOR, DARRELL; WRIGHT, KEVIN</t>
  </si>
  <si>
    <t>BEMBRY III, ROBERT H; VANDERMARK, JEREMIAH J; WISE, COREN J</t>
  </si>
  <si>
    <t>2025 FITZWATER</t>
  </si>
  <si>
    <t>ZR236 - NOTICE GIVEN UNDER RULE 236: NOTICE GIVEN ON 31-MAY-2018 OF ORDER ENTERED/236 NOTICE GIVEN ENTERED ON 31-MAY-2018.</t>
  </si>
  <si>
    <t>Deemed blighted, conditional relief granted, remediated, fees awarded via agreement</t>
  </si>
  <si>
    <t>2017-08-17 17:28:00</t>
  </si>
  <si>
    <t>SCIOLI TURCO, INC. VS PRIOLEAU ETAL</t>
  </si>
  <si>
    <t>BURNS, ISIAH N; PRIOLEAU, DENISE; PRIOLEAU, RASHEED F</t>
  </si>
  <si>
    <t>3206 W PEARL STREET</t>
  </si>
  <si>
    <t>APORA - ORDER AFFIRMED BY APPELLATE CT: 422 EDA 2018
ACCORDINGLY, WE AFFIRMED.
JUDGMENT ENTERED.</t>
  </si>
  <si>
    <t>2013-09-05 21:20:00</t>
  </si>
  <si>
    <t>SCIOLI TURCO, INC. VS QUATTRONE ETAL</t>
  </si>
  <si>
    <t>QUATTRONE, FRANK</t>
  </si>
  <si>
    <t>1316 CLARION STREET</t>
  </si>
  <si>
    <t>012508400</t>
  </si>
  <si>
    <t>LISPR - RELEASE OF LIS PENDENS FILED: PRAECIPE TO RELEASE LIS PENDENS AS TO PREMISES 1316 STREET, PHILADELPHIA FILED. (FILED ON BEHALF OF SCIOLI TURCO, INC.)</t>
  </si>
  <si>
    <t>2016-04-11 16:13:00</t>
  </si>
  <si>
    <t xml:space="preserve">SCIOLI TURCO, INC. VS RENEE A. BOWEN, ADMX OF THE </t>
  </si>
  <si>
    <t>BOWEN, EVELYN E; RENEE A. BOWEN, ADMX OF THE ESTATE OF HAROLD C. BOWEN; RODRIGUEZ RAMOS, RAMON ANTONIIO</t>
  </si>
  <si>
    <t>LEON, MIGUEL A</t>
  </si>
  <si>
    <t>7144 HEGERMAN ST</t>
  </si>
  <si>
    <t>LISPR - RELEASE OF LIS PENDENS FILED: PRAECIPE TO RELEASE LIS PENDENS AS TO PREMISES 7144 HEGERMAN STREET, PHILADELPHIA FILED. (FILED ON BEHALF OF SCIOLI TURCO, INC.)</t>
  </si>
  <si>
    <t>2013-03-08 11:20:00</t>
  </si>
  <si>
    <t>SCIOLI TURCO, INC. VS RUSSELL ETAL</t>
  </si>
  <si>
    <t>RUSSELL, JENNI</t>
  </si>
  <si>
    <t>814 S 19TH</t>
  </si>
  <si>
    <t>PRATT - PRAECIPE TO SUPPL/ATTACH FILED: 91-13031191 PRAECIPE TO SUPPLEMENT/ATTACH RE: PET-APPT CONSERVATOR-ACT 135 FILED. (FILED ON BEHALF OF SCIOLI TURCO, INC.)</t>
  </si>
  <si>
    <t>2013-03-15 17:32:00</t>
  </si>
  <si>
    <t>RUSSELL, JENNIE</t>
  </si>
  <si>
    <t>MARTIN, MARY-KATE; ZWOLAK, JAMES J</t>
  </si>
  <si>
    <t>816 S 19TH STREET</t>
  </si>
  <si>
    <t>ENAPP - ENTRY OF APPEARANCE: ENTRY OF APPEARANCE OF MARY-KATE MARTIN FILED. (FILED ON BEHALF OF CITY OF PHILADELPHIA)</t>
  </si>
  <si>
    <t>2016-01-04 12:36:00</t>
  </si>
  <si>
    <t>SCIOLI TURCO, INC. VS RUSSO</t>
  </si>
  <si>
    <t>PICCIRILLI, GAETANO P</t>
  </si>
  <si>
    <t>RUSSO JR, ANTHONY J</t>
  </si>
  <si>
    <t>1802 W RITNER</t>
  </si>
  <si>
    <t>ZR236 - NOTICE GIVEN UNDER RULE 236: NOTICE GIVEN ON 16-FEB-2016 OF ORDER ENTERED - FINAL DISPOS ENTERED ON 16-FEB-2016.</t>
  </si>
  <si>
    <t>2016-03-08 16:53:00</t>
  </si>
  <si>
    <t>SCIOLI TURCO, INC. VS SANCHEZ ETAL</t>
  </si>
  <si>
    <t>DUBROFF, ALLEN B; RUSHIE, A JORDAN; SLEPNER, ISAAC F</t>
  </si>
  <si>
    <t>323, 325, 327 W GIRARD AVE</t>
  </si>
  <si>
    <t>ORDRF - ORDER ENTERED - FINAL DISPOS: 78-19012978 PURSUANT TO THE AGREEMENT REACHED BY AND BETWEEN THE PARTIES AND THE BLIGHTED CONDITIONS HAVING BEEN REMEDIATED, IT IS HEREBY ORDERED AND DECREED THAT THE PETITIONER'S FEE AS ALLOWED UNDER ACT 135 IS $15,000.00.  SAID AMOUNT SHALL BE PAID BY CARLOS SANCHEZ TO SCIOLI TURCO WITHIN FORTY-FIVE (45) DAYS OF MAY 22, 2019.  THIS IS A FINAL ORDER AND THIS MATTER IS NOW FULLY RESOLVED.   ...BY THE COURT; FOX, J. 6-14-19</t>
  </si>
  <si>
    <t>Settled (conditions remediated and fees ordered)</t>
  </si>
  <si>
    <t>2018-07-06 22:19:00</t>
  </si>
  <si>
    <t>SCIOLI TURCO, INC. VS SIEGERT ETAL</t>
  </si>
  <si>
    <t>SIEGERT, JOSEPH R</t>
  </si>
  <si>
    <t>5005 MCKEAN AVE.</t>
  </si>
  <si>
    <t>ORDMN - COURT ORDERED PAYOUT OF ESCROW: CHECK #9580 IN THE AMOUNT OF $42,621.12 WAS RELEASED TO JOSEPH R SIEGERT</t>
  </si>
  <si>
    <t>2020-11-20 16:21:00</t>
  </si>
  <si>
    <t>SCIOLI TURCO, INC. VS STAPLES ETAL</t>
  </si>
  <si>
    <t>EMILY COX C/O KENNETH HARRISON ESQUIRE; JEFFREY STAPLES C/O KENNETH HARRISON ESQUIRE; JOHN T STAPLES JR C/O KENNETH HARRISON ESQUIRE; JULIA STAPLES C/O KENNETH HARRISON ESQUIRE; STAPLES, JOHN T; STAPLES, MARTHA M</t>
  </si>
  <si>
    <t>CARLETON, MICHAEL E; DEBARBERIE, JOSEPH E; DIETTERICK, SCOTT A; HONG, KIMBERLY J; WOOTERS, MEREDITH</t>
  </si>
  <si>
    <t>5110 GERMANTOWN AVE</t>
  </si>
  <si>
    <t>MAILR - RETURNED MAIL RECEIVED: RETURNED MAIL ORDER DATED DECEMBER 6, 2022 AS UNDELIVERABLE AT THE ADDRESS ON FILE WITH THE COURT TO THE FOLLOWING PARTY: MARTHA M STAPLES.</t>
  </si>
  <si>
    <t>2013-10-07 12:06:00</t>
  </si>
  <si>
    <t>SCIOLI TURCO, INC. VS TETI ETAL</t>
  </si>
  <si>
    <t>TETI, JOHN</t>
  </si>
  <si>
    <t>1167 S CLARION</t>
  </si>
  <si>
    <t>021615300</t>
  </si>
  <si>
    <t>LISPR - RELEASE OF LIS PENDENS FILED: PRAECIPE TO RELEASE LIS PENDENS AS TO PREMISES 1167 S CLARION STREET, PHILADELPHIA FILED. (FILED ON BEHALF OF SCIOLI TURCO, INC.)</t>
  </si>
  <si>
    <t>2016-10-11 17:14:00</t>
  </si>
  <si>
    <t>SCIOLI TURCO, INC. VS THE ESTATE OF JOAN CALISTO E</t>
  </si>
  <si>
    <t>CALISTO ESTATE OF, JOAN; CALISTO EXECUTOR, MICHAEL K; RODGERS, MICHAEL</t>
  </si>
  <si>
    <t>424 N 32ND STREET</t>
  </si>
  <si>
    <t>2017-06-09 12:33:00</t>
  </si>
  <si>
    <t xml:space="preserve">SCIOLI TURCO, INC. VS THE ESTATE OF ROBERTA PEARO </t>
  </si>
  <si>
    <t>ALL UNKNOWN HEIRS; PEARO ESTATE OF, ROBERTA</t>
  </si>
  <si>
    <t>1918 E HAZZARD STREET</t>
  </si>
  <si>
    <t>LISPR - RELEASE OF LIS PENDENS FILED: PRAECIPE TO RELEASE LIS PENDENS AS TO PREMISES 1918 E HAZZARD, PHILADELPHIA FILED. (FILED ON BEHALF OF SCIOLI TURCO, INC.)</t>
  </si>
  <si>
    <t>2015-06-05 10:31:00</t>
  </si>
  <si>
    <t>SCIOLI TURCO, INC. VS TILLY ETAL</t>
  </si>
  <si>
    <t>TILLY, DENNIS</t>
  </si>
  <si>
    <t>1732 CATHERINE STREET</t>
  </si>
  <si>
    <t>AFDVT - AFFIDAVIT OF SERVICE FILED: AFFIDAVIT OF SERVICE OF PETITION, ORDER, AND NOTICE UPON IRS BY CERTIFIED MAIL ON 07/02/2015 FILED.</t>
  </si>
  <si>
    <t>2015-06-05 08:59:00</t>
  </si>
  <si>
    <t>SCIOLI TURCO, INC. VS TITH ETAL</t>
  </si>
  <si>
    <t>TITH, LISA R; TUCH, MARTIN</t>
  </si>
  <si>
    <t>1714 PIERCE STREET</t>
  </si>
  <si>
    <t>LISPR - RELEASE OF LIS PENDENS FILED: PRAECIPE TO RELEASE LIS PENDENS AS TO PREMISES 1714 PIERCE STREET, PHILADELPHIA FILED. (FILED ON BEHALF OF SCIOLI TURCO, INC.)</t>
  </si>
  <si>
    <t>2016-12-05 16:56:00</t>
  </si>
  <si>
    <t>SCIOLI TURCO, INC. VS TRAN ETAL</t>
  </si>
  <si>
    <t>JDAGR - JUDGMENT ENTERED BY AGREEMNT</t>
  </si>
  <si>
    <t>PICCIRILLI, GAETANO P; PLATT, MONICA C; STEIN, JONATHAN E; VANDERSLICE, RICHARD L</t>
  </si>
  <si>
    <t>500 LOFT LLC; TRAN, QUYEN V</t>
  </si>
  <si>
    <t>MARQUEZ, ENRIQUE; ZWOLAK, JAMES J</t>
  </si>
  <si>
    <t>411-19 N 09TH STREET</t>
  </si>
  <si>
    <t>ZR236 - NOTICE GIVEN UNDER RULE 236: NOTICE GIVEN ON 21-MAY-2021 OF JUDGMENT ENTERED BY AGREEMNT ENTERED ON 20-MAY-2021.</t>
  </si>
  <si>
    <t>2016-02-03 10:25:00</t>
  </si>
  <si>
    <t>SCIOLI TURCO, INC. VS TRINH ETAL</t>
  </si>
  <si>
    <t>TRINH, MINH-DUC</t>
  </si>
  <si>
    <t>MORRIS, GLEN</t>
  </si>
  <si>
    <t>721 WASHINGTON AVENUE</t>
  </si>
  <si>
    <t>Deemed blighted, conditional relief agreed to, fees agreed to via settlement</t>
  </si>
  <si>
    <t>2020-01-22 10:28:00</t>
  </si>
  <si>
    <t>SCIOLI TURCO, INC. VS TROPIANO ETAL</t>
  </si>
  <si>
    <t>TROPIANO, ROBERT</t>
  </si>
  <si>
    <t>7011 EDMUND STREET</t>
  </si>
  <si>
    <t>MAILR - RETURNED MAIL RECEIVED: RETURNED MAIL ORDER DATED 09/21/21 AS UNDELIVERABLE AT THE ADDRESS ON FILE WITH THE COURT TO THE FOLLOWING PARTY: PHILAELPHIA TRAFFIC COURT.</t>
  </si>
  <si>
    <t>2016-04-06 16:06:00</t>
  </si>
  <si>
    <t>SCIOLI TURCO, INC. VS VOLKENS ETAL</t>
  </si>
  <si>
    <t>VOLKENS, ANGELO P; VOLKENS, DAVID L; VOLKENS, GREGORY J; VOLKENS, KHALID</t>
  </si>
  <si>
    <t>LISPR - RELEASE OF LIS PENDENS FILED: PRAECIPE TO RELEASE LIS PENDENS AS TO PREMISES 1166 S DORRANCE STREET, PHILADELPHIA FILED. (FILED ON BEHALF OF SCIOLI TURCO, INC.)</t>
  </si>
  <si>
    <t>2015-02-16 19:37:00</t>
  </si>
  <si>
    <t>SCIOLI TURCO, INC. VS WARNER ETAL</t>
  </si>
  <si>
    <t>WARNER, THEODORE K</t>
  </si>
  <si>
    <t>1525 MANTON STREET</t>
  </si>
  <si>
    <t>ORDRF - ORDER ENTERED - FINAL DISPOS: ORDER APPROVING SALE OF PROPERTY ISSUED 9/8/2015 BY JUDGE NEW.   ... JPE/CAO</t>
  </si>
  <si>
    <t>SCIOLI TURCO, INC. VS WEBSTER ETAL</t>
  </si>
  <si>
    <t>CALEB, MAE H; WEBSTER, WILLIAM W</t>
  </si>
  <si>
    <t>HENIGAN, PATRICK T</t>
  </si>
  <si>
    <t>ZR236 - NOTICE GIVEN UNDER RULE 236: NOTICE GIVEN ON 06-AUG-2020 OF ORDER ENTERED - FINAL DISPOS ENTERED ON 05-AUG-2020.</t>
  </si>
  <si>
    <t>2015-04-29 09:30:00</t>
  </si>
  <si>
    <t>SCIOLI TURCO, INC. VS WOOTEN ETAL</t>
  </si>
  <si>
    <t>ORDRF - ORDER ENTERED - FINAL DISPOS: SEE FINAL ORDER DATED 5/14/2015.   JPE/CAO 2/8/2016</t>
  </si>
  <si>
    <t>2015-06-29 13:55:00</t>
  </si>
  <si>
    <t>MEYER, GERGE; WILLIAMS, DELLA; WOOTEN, BENJAMIN</t>
  </si>
  <si>
    <t>ZR236 - NOTICE GIVEN UNDER RULE 236: NOTICE GIVEN ON 10-JUL-2015 OF ORDER ENTERED - FINAL DISPOS ENTERED ON 10-JUL-2015.</t>
  </si>
  <si>
    <t>2016-07-28 11:40:00</t>
  </si>
  <si>
    <t>SCIOLI TURCO, INC. VS YERKA ETAL</t>
  </si>
  <si>
    <t>YERKA, ELVIRA</t>
  </si>
  <si>
    <t>4562-64 MILNOR</t>
  </si>
  <si>
    <t>LISPR - RELEASE OF LIS PENDENS FILED: PRAECIPE TO RELEASE LIS PENDENS AS TO PREMISES 4562-4564 MILNOR STREET, PHILADELPHIA FILED. (FILED ON BEHALF OF SCIOLI TURCO, INC.)</t>
  </si>
  <si>
    <t>2016-04-12 13:19:00</t>
  </si>
  <si>
    <t>SCIOLI TURCO, INC. VS YOUNG ETAL</t>
  </si>
  <si>
    <t>YOUNG, GEORGE A</t>
  </si>
  <si>
    <t>SAYLES, MICHAEL D</t>
  </si>
  <si>
    <t>1215 S 17TH ST</t>
  </si>
  <si>
    <t>ZR236 - NOTICE GIVEN UNDER RULE 236: NOTICE GIVEN ON 08-DEC-2016 OF ORDER ENTERED - FINAL DISPOS ENTERED ON 07-DEC-2016.</t>
  </si>
  <si>
    <t>2019-08-30 12:51:00</t>
  </si>
  <si>
    <t>SCIOLITURCO, INC VS O'CONNELL ETAL</t>
  </si>
  <si>
    <t>SCIOLITURCO INC</t>
  </si>
  <si>
    <t>OCONNELL, ELISABETH; OCONNELL III, JOHN J</t>
  </si>
  <si>
    <t>MACHLES, ARNOLD</t>
  </si>
  <si>
    <t>752 S MILDRED</t>
  </si>
  <si>
    <t>022268400</t>
  </si>
  <si>
    <t>M0378 - CORRECTION TO JUDGMENT INDEX: CORRECTION TO IN REM INDEX: THE LIS PENDENS AGAINST 752 SOUTH MILDRED STREET IS LIFTED PURSUANT TO COURT ORDER DATED 3/4/20.  IN REM INDEX UPDATED ON 3/10/20.</t>
  </si>
  <si>
    <t>2018-08-27 20:05:00</t>
  </si>
  <si>
    <t>SCOTT ETAL VS RANDALL ETAL</t>
  </si>
  <si>
    <t>SCIOLI TURCO INC; SCOTT, SALLY</t>
  </si>
  <si>
    <t>RANDALL, SHANE</t>
  </si>
  <si>
    <t>WAKEFIELD, KATHRYN M; WISE, COREN J</t>
  </si>
  <si>
    <t>712 S 23RD STREET</t>
  </si>
  <si>
    <t>ZR236 - NOTICE GIVEN UNDER RULE 236: NOTICE GIVEN ON 07-DEC-2022 OF ORDER ENTERED - FINAL DISPOS ENTERED ON 07-DEC-2022.</t>
  </si>
  <si>
    <t>2019-01-22 11:37:00</t>
  </si>
  <si>
    <t>SDLOMO PARTNERS L.L.C. VS SWINGLER ETAL</t>
  </si>
  <si>
    <t>SDLOMO PARTNERS LLC</t>
  </si>
  <si>
    <t>SWINGLER, JESSIE</t>
  </si>
  <si>
    <t>1330 W CLEARFIELD</t>
  </si>
  <si>
    <t>ZR236 - NOTICE GIVEN UNDER RULE 236: NOTICE GIVEN ON 15-FEB-2019 OF ORDER ENTERED - FINAL DISPOS ENTERED ON 13-FEB-2019.</t>
  </si>
  <si>
    <t>2019-04-04 10:30:00</t>
  </si>
  <si>
    <t>SDLOMO PARTNERS, LLC VS SWINGLER ETAL</t>
  </si>
  <si>
    <t>ZR236 - NOTICE GIVEN UNDER RULE 236: NOTICE GIVEN ON 27-OCT-2022 OF ORDER ENTERED - FINAL DISPOS ENTERED ON 26-OCT-2022.</t>
  </si>
  <si>
    <t>Conservator appointed, sale approved, conservatorship terminated</t>
  </si>
  <si>
    <t>2017-11-06 18:43:00</t>
  </si>
  <si>
    <t>SELECT NEIGHBORHOODS, INC. VS JOYCE ETAL</t>
  </si>
  <si>
    <t>SELECT NEIGHBORHOODS INC</t>
  </si>
  <si>
    <t>JOYCE JR., JOHN F</t>
  </si>
  <si>
    <t>2818-20 BELGRADE STREET</t>
  </si>
  <si>
    <t>ZR236 - NOTICE GIVEN UNDER RULE 236: NOTICE GIVEN ON 24-AUG-2020 OF ORDER ENTERED - FINAL DISPOS ENTERED ON 18-AUG-2020.</t>
  </si>
  <si>
    <t>2017-11-22 09:51:00</t>
  </si>
  <si>
    <t>SELECT NEIGHBORHOODS, INC. VS MARABLE ETAL</t>
  </si>
  <si>
    <t>MARABLE, LAWRENCE; TROY, ETHEL</t>
  </si>
  <si>
    <t>5230 WALTON</t>
  </si>
  <si>
    <t>ZRDSC - PRAECIPE TO DISCONTINUE: ORDER TO DISCONTINUE WITHOUT PREJUDICE FILED. (FILED ON BEHALF OF SELECT NEIGHBORHOODS INC)</t>
  </si>
  <si>
    <t>2018-05-15 16:04:00</t>
  </si>
  <si>
    <t>SELECT NEIGHBORHOODS, INC. VS PERALTA ETAL</t>
  </si>
  <si>
    <t>PERALTA, RAMONE ORLANDO</t>
  </si>
  <si>
    <t>3040-42 W DIAMOND STREET</t>
  </si>
  <si>
    <t>MAILR - RETURNED MAIL RECEIVED: RETURNED MAIL ORDER DATED 01/20/21 AS UNDELIVERABLE AT THE ADDRESS ON FILE WITH THE COURT TO THE FOLLOWING PARTY: COMMONWEALTH OF PA DEPT OF LABOR AND INDUSTRY.</t>
  </si>
  <si>
    <t>Deemed blighted, conditional relief granted, settlement</t>
  </si>
  <si>
    <t>2017-09-22 16:09:00</t>
  </si>
  <si>
    <t>SELECT NEIGHBORHOODS, INC. VS THE ESTATE OF WILLIA</t>
  </si>
  <si>
    <t>HUBBERT III, JOHN J; MILLER, ANDREW L; STEIN, JONATHAN E; VANDERSLICE, RICHARD L</t>
  </si>
  <si>
    <t>ALL UNKNOWN HEIRS; RIGHTER ESTATE OF, JEAN; RIGHTER ESTATE OF, WILLIAM</t>
  </si>
  <si>
    <t>BURNS, EILEEN T; KENNY, THOMAS D</t>
  </si>
  <si>
    <t>1720 S ORIANNA</t>
  </si>
  <si>
    <t>011423700</t>
  </si>
  <si>
    <t>MAILR - RETURNED MAIL RECEIVED: RETURNED MAIL TRIAL WORKSHEET DATED 03/21/19 AS UNDELIVERABLE AT THE ADDRESS ON FILE WITH THE COURT TO THE FOLLOWING PARTY: ESTATE OF WILLIAM RIGHTER.</t>
  </si>
  <si>
    <t>2022-07-08 10:12:00</t>
  </si>
  <si>
    <t>SERRANO VS MANNS MAYO ETAL</t>
  </si>
  <si>
    <t>SERRANO, THAIS</t>
  </si>
  <si>
    <t>MANNS MAYO, NICOLE</t>
  </si>
  <si>
    <t>DANIEL, MITA L</t>
  </si>
  <si>
    <t>2319 N 33RD STREET</t>
  </si>
  <si>
    <t>M0462 - LISTED-STAT CONF CONSERVATOR: 21-22071321 HEARING SCHEDULED FOR 3/13/23 AT 2:30 P.M IN COURTROOM 453, CITY HALL.</t>
  </si>
  <si>
    <t>Active (but found blighted)</t>
  </si>
  <si>
    <t>2016-04-05 18:09:00</t>
  </si>
  <si>
    <t>SERRANO VS PRATER ETAL</t>
  </si>
  <si>
    <t>PRATER, CHARMAINE; PRATER-MCCOLLUM, CHANELL; PRATER-MCCOULLUM, CHANELL; PRATER-MCCOULLUM, CHARMAINE; WOODS, RAZIZ</t>
  </si>
  <si>
    <t>3037 BALTZ ST</t>
  </si>
  <si>
    <t>ZR236 - NOTICE GIVEN UNDER RULE 236: NOTICE GIVEN ON 20-SEP-2022 OF APPEAL INVENTORY RECORD SENT ENTERED ON 20-SEP-2022.</t>
  </si>
  <si>
    <t>2022-12-01 15:48:00</t>
  </si>
  <si>
    <t>SKILTON VS TOLBERT ETAL</t>
  </si>
  <si>
    <t>SKILTON, STEPHEN</t>
  </si>
  <si>
    <t>TOLBERT, ROMAINE J</t>
  </si>
  <si>
    <t>5857 ADDISON STREET</t>
  </si>
  <si>
    <t>MTASN - MOTION ASSIGNED: 85-22120285 PET-APPT CONSERVATOR-ACT 135 ASSIGNED TO JUDGE: JUDGE, CONSERVATORSHIP . ON DATE: DECEMBER 05, 2022</t>
  </si>
  <si>
    <t>2021-11-09 14:59:00</t>
  </si>
  <si>
    <t>SOUTHWEST COMMUNITY DEVELOPMENT CORPORATION VS MAT</t>
  </si>
  <si>
    <t>SOUTHWEST COMMUNITY DEVELOPMENT CORPORATION</t>
  </si>
  <si>
    <t>MATTAWAY, SAMUEL</t>
  </si>
  <si>
    <t>5427 CATHERINE STREET</t>
  </si>
  <si>
    <t>MTASN - MOTION ASSIGNED: 63-22123963 MISCELLANEOUS MOTION/PETITION ASSIGNED TO JUDGE: JUDGE, CONSERVATORSHIP . ON DATE: JANUARY 11, 2023</t>
  </si>
  <si>
    <t>Active, deemed blighted, conditional relief granted, remediated, fees stipulated to</t>
  </si>
  <si>
    <t>2022-03-29 14:49:00</t>
  </si>
  <si>
    <t>SOUTHWEST COMMUNITY DEVELOPMENT CORPORATION VS ODE</t>
  </si>
  <si>
    <t>ODENIYI, ALLEN; ODENIYI, FOLSADE</t>
  </si>
  <si>
    <t>5121 MALCOLM</t>
  </si>
  <si>
    <t>PRSDE - PRAEC/SETTLE DISCONTINUE END: SETTLED VIA S D &amp; E PRAECIPE FILED. (FILED ON BEHALF OF SOUTHWEST COMMUNITY DEVELOPMENT CORPORATION)</t>
  </si>
  <si>
    <t>2014-08-06 17:11:00</t>
  </si>
  <si>
    <t>SPAK GROUP LLC VS RAFTERS CHARITIES  ETAL</t>
  </si>
  <si>
    <t>SPAK GROUP LLC</t>
  </si>
  <si>
    <t>PENNSYLVANIA OFFICE OF ATTORNEY GENERAL; RAFTERS CHARITIES</t>
  </si>
  <si>
    <t>FINGERHUT, PAMELA S</t>
  </si>
  <si>
    <t>5046 BALTIMORE AVE</t>
  </si>
  <si>
    <t>2016-05-11 23:26:00</t>
  </si>
  <si>
    <t>SPAK GROUP, LLC VS ARRENDONDO PAULINO ETAL</t>
  </si>
  <si>
    <t>LEE, IVAN E</t>
  </si>
  <si>
    <t>ARRENDONDO PAULINO, PABLO</t>
  </si>
  <si>
    <t>DAVIS, WILLIAM M</t>
  </si>
  <si>
    <t>61 N 52ND STREET</t>
  </si>
  <si>
    <t>ZR236 - NOTICE GIVEN UNDER RULE 236: NOTICE GIVEN ON 15-NOV-2016 OF ORDER ENTERED - FINAL DISPOS ENTERED ON 15-NOV-2016.</t>
  </si>
  <si>
    <t>2019-04-22 13:00:00</t>
  </si>
  <si>
    <t>STEINMILLER VS VOLPE ETAL</t>
  </si>
  <si>
    <t>STEINMILLER, HEATHER</t>
  </si>
  <si>
    <t>HOPE, JENNIFER L; MONROE 410, MATTHEW C</t>
  </si>
  <si>
    <t>LINDA, VOLPE F; VOLPE, VOLPE F</t>
  </si>
  <si>
    <t>BARTOLOMEO JR., PAUL J; VANDERSLICE, RICHARD L; WATSON, DEANNA E</t>
  </si>
  <si>
    <t>2026 PEMBERTON STREET</t>
  </si>
  <si>
    <t xml:space="preserve"> 30108380</t>
  </si>
  <si>
    <t>PRSDE - PRAEC/SETTLE DISCONTINUE END: SETTLED VIA S D &amp; E PRAECIPE FILED. (FILED ON BEHALF OF HEATHER STEINMILLER)</t>
  </si>
  <si>
    <t>2014-11-11 17:15:00</t>
  </si>
  <si>
    <t>STEPH-SIN DEVELOPMENT, L.L.C. VS HILL ETAL</t>
  </si>
  <si>
    <t>STEPH-SIN DEVELOPMENT LLC</t>
  </si>
  <si>
    <t>HILL, PATRICIA</t>
  </si>
  <si>
    <t>GRIFO, ROSARIO A; STAVRAKIS, CYNTHIA</t>
  </si>
  <si>
    <t>3019 BALTZ STREET</t>
  </si>
  <si>
    <t>AFDVT - AFFIDAVIT OF SERVICE FILED: AFFIDAVIT OF SERVICE OF PETITION AND ORDER TO SHOW CAUSE UPON PATRICIA HILL BY ON 02/13/2015 FILED.</t>
  </si>
  <si>
    <t>2015-01-09 14:34:00</t>
  </si>
  <si>
    <t>LISPR - RELEASE OF LIS PENDENS FILED: PRAECIPE TO RELEASE LIS PENDENS AS TO PREMISES 3019 BALTZ STREET, PHILADELPHIA FILED. (FILED ON BEHALF OF STEPH-SIN DEVELOPMENT, L.L.C.)</t>
  </si>
  <si>
    <t>2015-07-28 15:48:00</t>
  </si>
  <si>
    <t>STEPH-SIN DEVELOPMENT, L.L.C. VS WILCOX ETAL</t>
  </si>
  <si>
    <t>WILCOX, ANNETT</t>
  </si>
  <si>
    <t>3037 W GIRARD AVENUE</t>
  </si>
  <si>
    <t>2021-02-23 13:04:00</t>
  </si>
  <si>
    <t>TACONY COMMUITY DEVELOPMENT CORP ETAL VS MARY BARB</t>
  </si>
  <si>
    <t>COMMONWEALTH PRESERVATION ALLIANCE; TACONY COMMUITY DEVELOPMENT CORPORATION</t>
  </si>
  <si>
    <t>ALDERFER, SARAH; MCILHINNEY, MICHAEL P; OLEN, ANDREW; PFIRRMAN, JOHN ROBERT; TONER, PAUL J</t>
  </si>
  <si>
    <t>MARY BARBARA AMBROSE-CURTIS EXECUTRIX</t>
  </si>
  <si>
    <t>7010 HEGERMAN STREET</t>
  </si>
  <si>
    <t>ZR236 - NOTICE GIVEN UNDER RULE 236: NOTICE GIVEN ON 30-SEP-2022 OF ORDER ENTERED - FINAL DISPOS ENTERED ON 30-SEP-2022.</t>
  </si>
  <si>
    <t>2012-05-17 16:09:00</t>
  </si>
  <si>
    <t>THE GERMANTOWN CONSERVANCY VS TRUSTEES OF PHILADEL</t>
  </si>
  <si>
    <t>GERMANTOWN CONSERVANCY</t>
  </si>
  <si>
    <t>KOHART, MARY E</t>
  </si>
  <si>
    <t>TRUSTEES OF PHILADELPHIA PRESBYTERY</t>
  </si>
  <si>
    <t>6135 GREENE STREET</t>
  </si>
  <si>
    <t>LISPR - RELEASE OF LIS PENDENS FILED: PRAECIPE TO RELEASE LIS PENDENS AS TO PREMISES 6135 GREENE STREET, PHILADELPHIA FILED. (FILED ON BEHALF OF THE GERMANTOWN CONSERVANCY)</t>
  </si>
  <si>
    <t>2012-04-04 12:22:00</t>
  </si>
  <si>
    <t>THE GERMANTOWN CONSERVANCY, INC. VS JP MORGAN CHAS</t>
  </si>
  <si>
    <t>GERMANTOWN CONSERVANCY INC</t>
  </si>
  <si>
    <t>KOHART, MARY E; WOLFE, J MATTHEW</t>
  </si>
  <si>
    <t>FEDERAL HOME LOAN MORTGAGE CORPORATION; JP MORGAN CHASE &amp; COMPANY</t>
  </si>
  <si>
    <t>MARKOWITZ, ANDREW L</t>
  </si>
  <si>
    <t>149 W WALNUT LANE</t>
  </si>
  <si>
    <t>ZR236 - NOTICE GIVEN UNDER RULE 236: NOTICE GIVEN ON 10-JAN-2013 OF ORDER ENTERED - FINAL DISPOS ENTERED ON 10-JAN-2013.</t>
  </si>
  <si>
    <t>2011-11-21 10:43:00</t>
  </si>
  <si>
    <t>THE GERMANTOWN CONSERVANCY, INC. VS MEYER ETAL</t>
  </si>
  <si>
    <t>SARGENT, JAMES C; WOLFE, J MATTHEW</t>
  </si>
  <si>
    <t>MEYER, ELIZABETH</t>
  </si>
  <si>
    <t>DISPO - DISPOSED -  CASE CLOSED: CASE DISPOSED-SEE FINDINGS AND ORDER OF 4/13/2012.</t>
  </si>
  <si>
    <t>2019-01-17 08:56:00</t>
  </si>
  <si>
    <t>TOLO PROPERTIES, LLC VS JONES ETAL</t>
  </si>
  <si>
    <t>TOLO PROPERTIES LLC</t>
  </si>
  <si>
    <t>JONES, SYLVESTER Q; UNKNOWN HEIRS OF SYLVESTER Q JONES</t>
  </si>
  <si>
    <t>1806 HARLAN STREET</t>
  </si>
  <si>
    <t>APORA - ORDER AFFIRMED BY APPELLATE CT: IN RE: 334 CD 2019   ORDER AND MEMORANDUM OPINION TO AFFIRM APPEAL.  5-3-21.</t>
  </si>
  <si>
    <t>2019-01-17 09:14:00</t>
  </si>
  <si>
    <t>TOLO PROPERTIES, LLC VS STEWART ETAL</t>
  </si>
  <si>
    <t>STEWART, LINDA D</t>
  </si>
  <si>
    <t>1808 HARLAN STREET</t>
  </si>
  <si>
    <t>APORR - ORDER REVERSED BY APPELLATE CT: 374 CD 2019
AND  NOW, THIS 11TH DAY OF MAY, 2020, THE FEBRUARY 15, 2019 ORDER OF THE PHILADELPHIA COUNTY COURT OF COMMON PLEAS IS REVERSED AND THE MATTER IS REMANDED FOR FURTHER PROCEEDINGS.
JURISDICTION RELINQUISHED.</t>
  </si>
  <si>
    <t>Dismissal reversed on appeal and remanded for further proceedings</t>
  </si>
  <si>
    <t>2019-01-17 10:53:00</t>
  </si>
  <si>
    <t>TOLO PROPERTIES, LLC VS UNKNOWN HEIRS OF RAYMOND W</t>
  </si>
  <si>
    <t>UNKNOWN HEIRS OF RAYMOND WOODSON; WOODSON, RAYMOND</t>
  </si>
  <si>
    <t>1810 HARLAN STREET</t>
  </si>
  <si>
    <t>APORA - ORDER AFFIRMED BY APPELLATE CT: 375 CD 2019
AND NOW, THIS 26TH DAY OF MAY, 2020, THE FEBRUARY 15, 2019 ORDER OF THE PHILADELPHIA COUNTY COURT OF COMMON PLEAS IS AFFIRMED.</t>
  </si>
  <si>
    <t>2016-09-28 18:00:00</t>
  </si>
  <si>
    <t>UNITED AGAINST BLIGHT LLC VS MALESIEWSKI ETAL</t>
  </si>
  <si>
    <t>UNITED AGAINST BLIGHT LLC</t>
  </si>
  <si>
    <t>ADAMS, OLIVIA A; MCILHINNEY, MICHAEL P; TONER, PAUL J</t>
  </si>
  <si>
    <t>MALESIEWSKI, OLGA</t>
  </si>
  <si>
    <t>224 CATHARINE STREET</t>
  </si>
  <si>
    <t>022045200</t>
  </si>
  <si>
    <t>ZR236 - NOTICE GIVEN UNDER RULE 236: NOTICE GIVEN ON 01-MAY-2020 OF ORDER ENTERED - FINAL DISPOS ENTERED ON 30-APR-2020.</t>
  </si>
  <si>
    <t>2013-12-20 13:36:00</t>
  </si>
  <si>
    <t>UNIVERSAL BUILDING AND CONSTRUCTION, INC. VS WERNE</t>
  </si>
  <si>
    <t>UNIVERSAL BUILDING &amp; CONSTRUCTION INC</t>
  </si>
  <si>
    <t>WERNER, HERBERT D</t>
  </si>
  <si>
    <t>2035 E HAZZARD STREET</t>
  </si>
  <si>
    <t>PRSDE - PRAEC/SETTLE DISCONTINUE END: SETTLED VIA S D &amp; E PRAECIPE FILED. (FILED ON BEHALF OF UNIVERSAL BUILDING AND CONSTRUCTION, INC.)</t>
  </si>
  <si>
    <t>2013-12-20 13:34:00</t>
  </si>
  <si>
    <t>UNIVERSAL BUILDING AND CONSTRUCTION, INC. VS WERTH</t>
  </si>
  <si>
    <t>WERTHEIMER, LUDWIG; WERTHEIMER, ROSE</t>
  </si>
  <si>
    <t>2033 E HAZZARD STREET</t>
  </si>
  <si>
    <t>2010-07-08 13:20:00</t>
  </si>
  <si>
    <t>URBAN TREE CONNECTION VS POLSELLI ETAL</t>
  </si>
  <si>
    <t>URBAN TREE CONNECTION</t>
  </si>
  <si>
    <t>TASCA, JOEL E</t>
  </si>
  <si>
    <t>POLSELLI, RUDOLPH T</t>
  </si>
  <si>
    <t>608 N 53RD STREET</t>
  </si>
  <si>
    <t>LISPR - RELEASE OF LIS PENDENS FILED: PRAECIPE TO RELEASE LIS PENDENS AS TO PREMISES 608 N 53RD STREET, PHILADELPHIA FILED. (FILED ON BEHALF OF URBAN TREE CONNECTION)</t>
  </si>
  <si>
    <t>2010-07-08 14:27:00</t>
  </si>
  <si>
    <t>621 N 54TH STREET</t>
  </si>
  <si>
    <t>LISPR - RELEASE OF LIS PENDENS FILED: PRAECIPE TO RELEASE LIS PENDENS AS TO PREMISES 621 N 54TH STREET, PHILADELPHIA FILED. (FILED ON BEHALF OF URBAN TREE CONNECTION)</t>
  </si>
  <si>
    <t>2012-02-27 15:55:00</t>
  </si>
  <si>
    <t>URBAN TREE CONNECTION VS VINCENT ETAL</t>
  </si>
  <si>
    <t>DOUGLAS, JENNIFER E</t>
  </si>
  <si>
    <t>VINCENT, JEAN</t>
  </si>
  <si>
    <t>ELLENBERG, STANLEY J; VANDERMARK, JEREMIAH J</t>
  </si>
  <si>
    <t>5427 HAVERFORD AVENUE</t>
  </si>
  <si>
    <t>041050500</t>
  </si>
  <si>
    <t>LISPR - RELEASE OF LIS PENDENS FILED: PRAECIPE TO RELEASE LIS PENDENS AS TO PREMISES 5427 HAVERFORD AVENUE, PHILADELPHIA FILED. (FILED ON BEHALF OF URBAN TREE CONNECTION)</t>
  </si>
  <si>
    <t>2018-06-06 15:59:00</t>
  </si>
  <si>
    <t>WAHL VS THE ESTATE OF CLORINE WILLIAMS ETAL</t>
  </si>
  <si>
    <t>WAHL, MATT</t>
  </si>
  <si>
    <t>ALL UNKNOWN HEIRS; WILLIAMS ESTATE OF, CLORINE; WILLIAMS ESTATE OF, WAYMOND</t>
  </si>
  <si>
    <t>848 PERKIOMEN</t>
  </si>
  <si>
    <t>MAILR - RETURNED MAIL RECEIVED: RETURNED MAIL ORDER DATED 12/07/18 AS UNDELIVERABLE AT THE ADDRESS ON FILE WITH THE COURT TO THE FOLLOWING PARTY: MID-PENN CONSUMER DISCOUNT COMPANY.</t>
  </si>
  <si>
    <t>2012-08-27 11:39:00</t>
  </si>
  <si>
    <t>WAHL VS WILLIAMS ETAL</t>
  </si>
  <si>
    <t>WAHL, MATTHEW</t>
  </si>
  <si>
    <t>WILLIAMS SR., WAYMOND</t>
  </si>
  <si>
    <t>ZRDSC - PRAECIPE TO DISCONTINUE: ORDER TO DISCONTINUE WITHOUT PREJUDICE FILED. (FILED ON BEHALF OF MATTHEW WAHL)</t>
  </si>
  <si>
    <t>2016-06-03 12:27:00</t>
  </si>
  <si>
    <t>WALSH III ETAL VS ISABELLA ETAL</t>
  </si>
  <si>
    <t>BLAU, LAURA; GERMANTOWN CONSERVANCY INC; PHILADELPHIA COMMUNITY DEVELOPMENT COALITION; WALSH III, CHARLES J</t>
  </si>
  <si>
    <t>ABRAMSON, DENNIS L; ADAMS, OLIVIA A; ALDERFER, SARAH; GARDNER, CAROLINE A; GINSBURG, JACOB U; MCILHINNEY, MICHAEL P; OLEN, ANDREW; TONER, PAUL J; WOLFE, J MATTHEW</t>
  </si>
  <si>
    <t>ISABELLA, TERESA F</t>
  </si>
  <si>
    <t>CASTOR JR., BRUCE L</t>
  </si>
  <si>
    <t>325 S 18TH STREET</t>
  </si>
  <si>
    <t>ZR236 - NOTICE GIVEN UNDER RULE 236: NOTICE GIVEN ON 12-JAN-2023 OF ORDER ENTERED/236 NOTICE GIVEN ENTERED ON 12-JAN-2023.</t>
  </si>
  <si>
    <t>Conservator appointed, seven years of litigation and appeals</t>
  </si>
  <si>
    <t>2017-09-13 13:51:00</t>
  </si>
  <si>
    <t>WAYNE JUNCTION PROPERTIES, LLC  VS THE ORIGINAL GL</t>
  </si>
  <si>
    <t>WAYNE JUNCTION PROPERTIES LLC</t>
  </si>
  <si>
    <t>ORIGINAL GLORIOUS CHURCH OF GOD IN CHRIST INC</t>
  </si>
  <si>
    <t>BERTIL, STEVE; FINEMAN, S DAVID; HORVITZ, JOSHUA B; WAKEFIELD, STEVEN A; WIND, BRANDON R</t>
  </si>
  <si>
    <t>147-53 BERKLEY</t>
  </si>
  <si>
    <t>MAILR - RETURNED MAIL RECEIVED: RETURNED MAIL ORDER DATED 09/15/20 AS UNDELIVERABLE AT THE ADDRESS ON FILE WITH THE COURT TO THE FOLLOWING PARTY: JAMES M MELLOR.</t>
  </si>
  <si>
    <t>2022-11-30 10:15:00</t>
  </si>
  <si>
    <t>WILLIAMS VS SALKADE ETAL</t>
  </si>
  <si>
    <t>WILLIAMS, BRANDON</t>
  </si>
  <si>
    <t>SALKADE, NITIN</t>
  </si>
  <si>
    <t>1534 S 18TH STREET</t>
  </si>
  <si>
    <t>M0462 - LISTED-STAT CONF CONSERVATOR: 49-22117349 HEARING SCHEDULED FOR 02-02-23 AT 2:30 P.M. IN COURTROOM 453, CITY HALL.</t>
  </si>
  <si>
    <t>2014-08-12 11:01:00</t>
  </si>
  <si>
    <t>WISSAHICKON INTERESTED CITIZENS ASSOCIATION ETAL V</t>
  </si>
  <si>
    <t>INNOVA REDEVELOPMENT LLC; WISSAHICKON INTERESTED CITIZENS ASSOCIATION</t>
  </si>
  <si>
    <t>SACKS, ERIC</t>
  </si>
  <si>
    <t>BENOFF, BART; VANDERMARK, JEREMIAH J</t>
  </si>
  <si>
    <t>5102 ROCHELLE AVENUE</t>
  </si>
  <si>
    <t>ZR236 - NOTICE GIVEN UNDER RULE 236: NOTICE GIVEN ON 21-JAN-2015 OF ORDER ENTERED - FINAL DISPOS ENTERED ON 16-JAN-2015.</t>
  </si>
  <si>
    <t>2018-01-25 15:42:00</t>
  </si>
  <si>
    <t>WOLF VS SANTIAGO ETAL</t>
  </si>
  <si>
    <t>WOLF, BARBARA</t>
  </si>
  <si>
    <t>MCCABE, CHRISTOPHER I; YOUNG, ROBERT L</t>
  </si>
  <si>
    <t>GREENSPON, JASON R; GUTMAN, RICHARD A; SALAMAN, DREW; SOBEL, JONATHAN J; VANDERSLICE, RICHARD L</t>
  </si>
  <si>
    <t>1601 W MOUNT VERNON STREET</t>
  </si>
  <si>
    <t>M0462 - LISTED-STAT CONF CONSERVATOR</t>
  </si>
  <si>
    <t>2015-10-19 13:09:00</t>
  </si>
  <si>
    <t>ZIMMERMAN VS BRAUN ETAL</t>
  </si>
  <si>
    <t>ZIMMERMAN, SARA</t>
  </si>
  <si>
    <t>BRAUN, BERNADINE; BRAUN, FRANK</t>
  </si>
  <si>
    <t>HARRIS-WILLIAMS, PAMELA</t>
  </si>
  <si>
    <t>1428 N ORIANNA</t>
  </si>
  <si>
    <t>ZR236 - NOTICE GIVEN UNDER RULE 236: NOTICE GIVEN ON 08-NOV-2018 OF ORDER ENTERED - FINAL DISPOS ENTERED ON 07-NOV-2018.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</si>
</sst>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AM/PM"/>
  </numFmts>
  <fonts count="5">
    <font>
      <sz val="11"/>
      <color theme="1"/>
      <name val="Calibri"/>
      <family val="2"/>
      <scheme val="minor"/>
    </font>
    <font>
      <u/>
      <sz val="11"/>
      <color rgb="FF0000FF"/>
      <name val="Calibri"/>
      <family val="2"/>
      <scheme val="minor"/>
    </font>
    <font>
      <sz val="11"/>
      <color rgb="FF000000"/>
      <name val="Calibri"/>
      <family val="2"/>
      <scheme val="minor"/>
    </font>
    <font>
      <sz val="11"/>
      <color rgb="FF444444"/>
      <name val="Calibri"/>
      <family val="2"/>
      <charset val="1"/>
    </font>
    <font>
      <sz val="11"/>
      <color rgb="FF000000"/>
      <name val="Calibri"/>
      <charset val="1"/>
    </font>
  </fonts>
  <fills count="4">
    <fill>
      <patternFill patternType="none"/>
    </fill>
    <fill>
      <patternFill patternType="gray125"/>
    </fill>
    <fill>
      <patternFill patternType="solid">
        <fgColor rgb="FFB8CCE4"/>
        <bgColor rgb="FFB8CCE4"/>
      </patternFill>
    </fill>
    <fill>
      <patternFill patternType="solid">
        <fgColor rgb="FFDCE6F1"/>
        <bgColor rgb="FFDCE6F1"/>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8">
    <xf numFmtId="0" fontId="0" fillId="0" borderId="0" xfId="0"/>
    <xf numFmtId="164" fontId="0" fillId="0" borderId="0" xfId="0" applyNumberFormat="1"/>
    <xf numFmtId="49" fontId="1" fillId="0" borderId="0" xfId="0" applyNumberFormat="1" applyFont="1"/>
    <xf numFmtId="49" fontId="0" fillId="0" borderId="0" xfId="0" applyNumberFormat="1"/>
    <xf numFmtId="0" fontId="2" fillId="2" borderId="1" xfId="0" applyFont="1" applyFill="1" applyBorder="1"/>
    <xf numFmtId="0" fontId="2" fillId="3" borderId="1" xfId="0" applyFont="1" applyFill="1" applyBorder="1"/>
    <xf numFmtId="0" fontId="3" fillId="0" borderId="0" xfId="0" applyFont="1"/>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ct135cases" displayName="act135cases" ref="A1:M578" totalsRowShown="0">
  <autoFilter ref="A1:M578" xr:uid="{00000000-0009-0000-0100-000001000000}"/>
  <sortState xmlns:xlrd2="http://schemas.microsoft.com/office/spreadsheetml/2017/richdata2" ref="A3:K578">
    <sortCondition ref="C1:C578"/>
  </sortState>
  <tableColumns count="13">
    <tableColumn id="1" xr3:uid="{00000000-0010-0000-0000-000001000000}" name="dfiled"/>
    <tableColumn id="2" xr3:uid="{00000000-0010-0000-0000-000002000000}" name="docketnum"/>
    <tableColumn id="3" xr3:uid="{00000000-0010-0000-0000-000003000000}" name="caption"/>
    <tableColumn id="4" xr3:uid="{00000000-0010-0000-0000-000004000000}" name="status"/>
    <tableColumn id="5" xr3:uid="{00000000-0010-0000-0000-000005000000}" name="petitioner"/>
    <tableColumn id="6" xr3:uid="{00000000-0010-0000-0000-000006000000}" name="petitioner_atty"/>
    <tableColumn id="7" xr3:uid="{00000000-0010-0000-0000-000007000000}" name="respondent"/>
    <tableColumn id="8" xr3:uid="{00000000-0010-0000-0000-000008000000}" name="respondent_atty"/>
    <tableColumn id="9" xr3:uid="{00000000-0010-0000-0000-000009000000}" name="address"/>
    <tableColumn id="10" xr3:uid="{00000000-0010-0000-0000-00000A000000}" name="opanum"/>
    <tableColumn id="11" xr3:uid="{00000000-0010-0000-0000-00000B000000}" name="disposition"/>
    <tableColumn id="12" xr3:uid="{D5C2CAEA-6384-964B-86FD-1CA78A7DE1F5}" name="Final Disposition"/>
    <tableColumn id="14" xr3:uid="{AB283BEB-221A-6F49-8798-CB1606A6BDBC}" name="Notes"/>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78"/>
  <sheetViews>
    <sheetView tabSelected="1" topLeftCell="C1" zoomScaleNormal="100" workbookViewId="0">
      <pane ySplit="1" topLeftCell="C478" activePane="bottomLeft" state="frozen"/>
      <selection pane="bottomLeft" activeCell="I497" sqref="I497"/>
    </sheetView>
  </sheetViews>
  <sheetFormatPr defaultColWidth="8.85546875" defaultRowHeight="15"/>
  <cols>
    <col min="1" max="2" width="13.7109375" customWidth="1"/>
    <col min="3" max="3" width="80.28515625" customWidth="1"/>
    <col min="4" max="8" width="13.7109375" customWidth="1"/>
    <col min="9" max="9" width="27.28515625" customWidth="1"/>
    <col min="10" max="11" width="13.7109375" customWidth="1"/>
    <col min="12" max="12" width="19.140625" customWidth="1"/>
    <col min="13" max="13" width="13.42578125" customWidth="1"/>
  </cols>
  <sheetData>
    <row r="1" spans="1:13">
      <c r="A1" t="s">
        <v>0</v>
      </c>
      <c r="B1" t="s">
        <v>1</v>
      </c>
      <c r="C1" t="s">
        <v>2</v>
      </c>
      <c r="D1" t="s">
        <v>3</v>
      </c>
      <c r="E1" t="s">
        <v>4</v>
      </c>
      <c r="F1" t="s">
        <v>5</v>
      </c>
      <c r="G1" t="s">
        <v>6</v>
      </c>
      <c r="H1" t="s">
        <v>7</v>
      </c>
      <c r="I1" t="s">
        <v>8</v>
      </c>
      <c r="J1" t="s">
        <v>9</v>
      </c>
      <c r="K1" t="s">
        <v>10</v>
      </c>
      <c r="L1" t="s">
        <v>11</v>
      </c>
      <c r="M1" t="s">
        <v>12</v>
      </c>
    </row>
    <row r="2" spans="1:13">
      <c r="A2" s="1" t="s">
        <v>13</v>
      </c>
      <c r="B2" s="2" t="str">
        <f>HYPERLINK("https://docket.philalegal.org/cgi-bin/proxy.pl?ct=130503922","130503922")</f>
        <v>130503922</v>
      </c>
      <c r="C2" s="3" t="s">
        <v>14</v>
      </c>
      <c r="D2" s="3" t="s">
        <v>15</v>
      </c>
      <c r="E2" s="3" t="s">
        <v>16</v>
      </c>
      <c r="F2" s="3" t="s">
        <v>17</v>
      </c>
      <c r="G2" s="3" t="s">
        <v>18</v>
      </c>
      <c r="H2" s="3" t="s">
        <v>19</v>
      </c>
      <c r="I2" s="3" t="s">
        <v>20</v>
      </c>
      <c r="J2" s="3">
        <v>394122800</v>
      </c>
      <c r="K2" s="3" t="s">
        <v>21</v>
      </c>
      <c r="L2" t="s">
        <v>22</v>
      </c>
      <c r="M2" t="s">
        <v>23</v>
      </c>
    </row>
    <row r="3" spans="1:13">
      <c r="A3" s="1" t="s">
        <v>24</v>
      </c>
      <c r="B3" s="2" t="str">
        <f>HYPERLINK("https://docket.philalegal.org/cgi-bin/proxy.pl?ct=140700560","140700560")</f>
        <v>140700560</v>
      </c>
      <c r="C3" s="3" t="s">
        <v>25</v>
      </c>
      <c r="D3" s="3" t="s">
        <v>26</v>
      </c>
      <c r="E3" s="3" t="s">
        <v>27</v>
      </c>
      <c r="F3" s="3" t="s">
        <v>17</v>
      </c>
      <c r="G3" s="3" t="s">
        <v>28</v>
      </c>
      <c r="H3" s="3" t="s">
        <v>29</v>
      </c>
      <c r="I3" s="3" t="s">
        <v>30</v>
      </c>
      <c r="J3" s="3">
        <v>182202300</v>
      </c>
      <c r="K3" s="3" t="s">
        <v>31</v>
      </c>
      <c r="L3" t="s">
        <v>22</v>
      </c>
    </row>
    <row r="4" spans="1:13">
      <c r="A4" s="1" t="s">
        <v>32</v>
      </c>
      <c r="B4" s="2" t="str">
        <f>HYPERLINK("https://docket.philalegal.org/cgi-bin/proxy.pl?ct=140700649","140700649")</f>
        <v>140700649</v>
      </c>
      <c r="C4" s="3" t="s">
        <v>25</v>
      </c>
      <c r="D4" s="3" t="s">
        <v>26</v>
      </c>
      <c r="E4" s="3" t="s">
        <v>27</v>
      </c>
      <c r="F4" s="3" t="s">
        <v>17</v>
      </c>
      <c r="G4" s="3" t="s">
        <v>28</v>
      </c>
      <c r="H4" s="3" t="s">
        <v>33</v>
      </c>
      <c r="I4" s="3" t="s">
        <v>34</v>
      </c>
      <c r="J4" s="3">
        <v>182202400</v>
      </c>
      <c r="K4" s="3" t="s">
        <v>35</v>
      </c>
      <c r="L4" t="s">
        <v>22</v>
      </c>
    </row>
    <row r="5" spans="1:13">
      <c r="A5" s="1" t="s">
        <v>36</v>
      </c>
      <c r="B5" s="2" t="str">
        <f>HYPERLINK("https://docket.philalegal.org/cgi-bin/proxy.pl?ct=140700650","140700650")</f>
        <v>140700650</v>
      </c>
      <c r="C5" s="3" t="s">
        <v>25</v>
      </c>
      <c r="D5" s="3" t="s">
        <v>26</v>
      </c>
      <c r="E5" s="3" t="s">
        <v>27</v>
      </c>
      <c r="F5" s="3" t="s">
        <v>17</v>
      </c>
      <c r="G5" s="3" t="s">
        <v>28</v>
      </c>
      <c r="H5" s="3" t="s">
        <v>29</v>
      </c>
      <c r="I5" s="3" t="s">
        <v>37</v>
      </c>
      <c r="J5" s="3">
        <v>182202500</v>
      </c>
      <c r="K5" s="3" t="s">
        <v>38</v>
      </c>
      <c r="L5" t="s">
        <v>22</v>
      </c>
    </row>
    <row r="6" spans="1:13">
      <c r="A6" s="1" t="s">
        <v>39</v>
      </c>
      <c r="B6" s="2" t="str">
        <f>HYPERLINK("https://docket.philalegal.org/cgi-bin/proxy.pl?ct=220302844","220302844")</f>
        <v>220302844</v>
      </c>
      <c r="C6" s="3" t="s">
        <v>40</v>
      </c>
      <c r="D6" s="3" t="s">
        <v>41</v>
      </c>
      <c r="E6" s="3" t="s">
        <v>42</v>
      </c>
      <c r="F6" s="3" t="s">
        <v>17</v>
      </c>
      <c r="G6" s="3" t="s">
        <v>43</v>
      </c>
      <c r="H6" s="3"/>
      <c r="I6" s="3" t="s">
        <v>44</v>
      </c>
      <c r="J6" s="3">
        <v>324109400</v>
      </c>
      <c r="K6" s="3" t="s">
        <v>45</v>
      </c>
      <c r="L6" t="s">
        <v>46</v>
      </c>
    </row>
    <row r="7" spans="1:13">
      <c r="A7" s="1" t="s">
        <v>47</v>
      </c>
      <c r="B7" s="2" t="str">
        <f>HYPERLINK("https://docket.philalegal.org/cgi-bin/proxy.pl?ct=220401187","220401187")</f>
        <v>220401187</v>
      </c>
      <c r="C7" s="3" t="s">
        <v>48</v>
      </c>
      <c r="D7" s="3" t="s">
        <v>49</v>
      </c>
      <c r="E7" s="3" t="s">
        <v>42</v>
      </c>
      <c r="F7" s="3" t="s">
        <v>17</v>
      </c>
      <c r="G7" s="3" t="s">
        <v>50</v>
      </c>
      <c r="H7" s="3"/>
      <c r="I7" s="3" t="s">
        <v>51</v>
      </c>
      <c r="J7" s="3">
        <v>323244900</v>
      </c>
      <c r="K7" s="3" t="s">
        <v>52</v>
      </c>
      <c r="L7" t="s">
        <v>22</v>
      </c>
    </row>
    <row r="8" spans="1:13">
      <c r="A8" s="1" t="s">
        <v>53</v>
      </c>
      <c r="B8" s="2" t="str">
        <f>HYPERLINK("https://docket.philalegal.org/cgi-bin/proxy.pl?ct=220102251","220102251")</f>
        <v>220102251</v>
      </c>
      <c r="C8" s="3" t="s">
        <v>54</v>
      </c>
      <c r="D8" s="3" t="s">
        <v>49</v>
      </c>
      <c r="E8" s="3" t="s">
        <v>42</v>
      </c>
      <c r="F8" s="3" t="s">
        <v>17</v>
      </c>
      <c r="G8" s="3" t="s">
        <v>55</v>
      </c>
      <c r="H8" s="3"/>
      <c r="I8" s="3" t="s">
        <v>56</v>
      </c>
      <c r="J8" s="3">
        <v>871542170</v>
      </c>
      <c r="K8" s="3" t="s">
        <v>57</v>
      </c>
      <c r="L8" t="s">
        <v>46</v>
      </c>
      <c r="M8" t="s">
        <v>58</v>
      </c>
    </row>
    <row r="9" spans="1:13">
      <c r="A9" s="1" t="s">
        <v>59</v>
      </c>
      <c r="B9" s="2" t="str">
        <f>HYPERLINK("https://docket.philalegal.org/cgi-bin/proxy.pl?ct=221200811","221200811")</f>
        <v>221200811</v>
      </c>
      <c r="C9" s="3" t="s">
        <v>60</v>
      </c>
      <c r="D9" s="3" t="s">
        <v>61</v>
      </c>
      <c r="E9" s="3" t="s">
        <v>42</v>
      </c>
      <c r="F9" s="3" t="s">
        <v>17</v>
      </c>
      <c r="G9" s="3" t="s">
        <v>62</v>
      </c>
      <c r="H9" s="3"/>
      <c r="I9" s="3" t="s">
        <v>63</v>
      </c>
      <c r="J9" s="3">
        <v>242234100</v>
      </c>
      <c r="K9" s="3" t="s">
        <v>64</v>
      </c>
      <c r="L9" t="s">
        <v>46</v>
      </c>
    </row>
    <row r="10" spans="1:13">
      <c r="A10" s="1" t="s">
        <v>65</v>
      </c>
      <c r="B10" s="2" t="str">
        <f>HYPERLINK("https://docket.philalegal.org/cgi-bin/proxy.pl?ct=170602573","170602573")</f>
        <v>170602573</v>
      </c>
      <c r="C10" s="3" t="s">
        <v>66</v>
      </c>
      <c r="D10" s="3" t="s">
        <v>15</v>
      </c>
      <c r="E10" s="3" t="s">
        <v>67</v>
      </c>
      <c r="F10" s="3" t="s">
        <v>68</v>
      </c>
      <c r="G10" s="3" t="s">
        <v>69</v>
      </c>
      <c r="H10" s="3" t="s">
        <v>70</v>
      </c>
      <c r="I10" s="3" t="s">
        <v>71</v>
      </c>
      <c r="J10" s="3">
        <v>883704300</v>
      </c>
      <c r="K10" s="3" t="s">
        <v>72</v>
      </c>
      <c r="L10" t="s">
        <v>73</v>
      </c>
    </row>
    <row r="11" spans="1:13">
      <c r="A11" s="1" t="s">
        <v>74</v>
      </c>
      <c r="B11" s="2" t="str">
        <f>HYPERLINK("https://docket.philalegal.org/cgi-bin/proxy.pl?ct=130602786","130602786")</f>
        <v>130602786</v>
      </c>
      <c r="C11" s="3" t="s">
        <v>75</v>
      </c>
      <c r="D11" s="3" t="s">
        <v>15</v>
      </c>
      <c r="E11" s="3" t="s">
        <v>76</v>
      </c>
      <c r="F11" s="3" t="s">
        <v>17</v>
      </c>
      <c r="G11" s="3" t="s">
        <v>77</v>
      </c>
      <c r="H11" s="3" t="s">
        <v>78</v>
      </c>
      <c r="I11" s="3" t="s">
        <v>79</v>
      </c>
      <c r="J11" s="3">
        <v>292202700</v>
      </c>
      <c r="K11" s="3" t="s">
        <v>80</v>
      </c>
      <c r="L11" t="s">
        <v>22</v>
      </c>
    </row>
    <row r="12" spans="1:13">
      <c r="A12" s="1" t="s">
        <v>81</v>
      </c>
      <c r="B12" s="2" t="str">
        <f>HYPERLINK("https://docket.philalegal.org/cgi-bin/proxy.pl?ct=130602785","130602785")</f>
        <v>130602785</v>
      </c>
      <c r="C12" s="3" t="s">
        <v>82</v>
      </c>
      <c r="D12" s="3" t="s">
        <v>26</v>
      </c>
      <c r="E12" s="3" t="s">
        <v>76</v>
      </c>
      <c r="F12" s="3" t="s">
        <v>17</v>
      </c>
      <c r="G12" s="3" t="s">
        <v>77</v>
      </c>
      <c r="H12" s="3" t="s">
        <v>83</v>
      </c>
      <c r="I12" s="3" t="s">
        <v>84</v>
      </c>
      <c r="J12" s="3">
        <v>292202800</v>
      </c>
      <c r="K12" s="3" t="s">
        <v>85</v>
      </c>
      <c r="L12" t="s">
        <v>22</v>
      </c>
    </row>
    <row r="13" spans="1:13">
      <c r="A13" s="1" t="s">
        <v>86</v>
      </c>
      <c r="B13" s="2" t="str">
        <f>HYPERLINK("https://docket.philalegal.org/cgi-bin/proxy.pl?ct=220201258","220201258")</f>
        <v>220201258</v>
      </c>
      <c r="C13" s="3" t="s">
        <v>87</v>
      </c>
      <c r="D13" s="3" t="s">
        <v>49</v>
      </c>
      <c r="E13" s="3" t="s">
        <v>88</v>
      </c>
      <c r="F13" s="3" t="s">
        <v>89</v>
      </c>
      <c r="G13" s="3" t="s">
        <v>90</v>
      </c>
      <c r="H13" s="3" t="s">
        <v>17</v>
      </c>
      <c r="I13" s="3" t="s">
        <v>91</v>
      </c>
      <c r="J13" s="3" t="s">
        <v>92</v>
      </c>
      <c r="K13" s="3" t="s">
        <v>93</v>
      </c>
      <c r="L13" t="s">
        <v>46</v>
      </c>
      <c r="M13" t="s">
        <v>58</v>
      </c>
    </row>
    <row r="14" spans="1:13">
      <c r="A14" s="1" t="s">
        <v>94</v>
      </c>
      <c r="B14" s="2" t="str">
        <f>HYPERLINK("https://docket.philalegal.org/cgi-bin/proxy.pl?ct=210101224","210101224")</f>
        <v>210101224</v>
      </c>
      <c r="C14" s="3" t="s">
        <v>95</v>
      </c>
      <c r="D14" s="3" t="s">
        <v>96</v>
      </c>
      <c r="E14" s="3" t="s">
        <v>88</v>
      </c>
      <c r="F14" s="3" t="s">
        <v>89</v>
      </c>
      <c r="G14" s="3" t="s">
        <v>97</v>
      </c>
      <c r="H14" s="3" t="s">
        <v>98</v>
      </c>
      <c r="I14" s="3" t="s">
        <v>99</v>
      </c>
      <c r="J14" s="3">
        <v>243218300</v>
      </c>
      <c r="K14" s="3" t="s">
        <v>100</v>
      </c>
      <c r="L14" t="s">
        <v>101</v>
      </c>
    </row>
    <row r="15" spans="1:13">
      <c r="A15" s="1" t="s">
        <v>102</v>
      </c>
      <c r="B15" s="2" t="str">
        <f>HYPERLINK("https://docket.philalegal.org/cgi-bin/proxy.pl?ct=160503996","160503996")</f>
        <v>160503996</v>
      </c>
      <c r="C15" s="3" t="s">
        <v>103</v>
      </c>
      <c r="D15" s="3" t="s">
        <v>96</v>
      </c>
      <c r="E15" s="3" t="s">
        <v>104</v>
      </c>
      <c r="F15" s="3" t="s">
        <v>105</v>
      </c>
      <c r="G15" s="3" t="s">
        <v>106</v>
      </c>
      <c r="H15" s="3" t="s">
        <v>107</v>
      </c>
      <c r="I15" s="3" t="s">
        <v>108</v>
      </c>
      <c r="J15" s="3">
        <v>884344090</v>
      </c>
      <c r="K15" s="3" t="s">
        <v>109</v>
      </c>
      <c r="L15" t="s">
        <v>110</v>
      </c>
      <c r="M15" t="s">
        <v>111</v>
      </c>
    </row>
    <row r="16" spans="1:13">
      <c r="A16" s="1" t="s">
        <v>112</v>
      </c>
      <c r="B16" s="2" t="str">
        <f>HYPERLINK("https://docket.philalegal.org/cgi-bin/proxy.pl?ct=170603318","170603318")</f>
        <v>170603318</v>
      </c>
      <c r="C16" s="3" t="s">
        <v>103</v>
      </c>
      <c r="D16" s="3" t="s">
        <v>113</v>
      </c>
      <c r="E16" s="3" t="s">
        <v>104</v>
      </c>
      <c r="F16" s="3" t="s">
        <v>105</v>
      </c>
      <c r="G16" s="3" t="s">
        <v>106</v>
      </c>
      <c r="H16" s="3" t="s">
        <v>114</v>
      </c>
      <c r="I16" s="3" t="s">
        <v>115</v>
      </c>
      <c r="J16" s="3">
        <v>193196000</v>
      </c>
      <c r="K16" s="3" t="s">
        <v>116</v>
      </c>
      <c r="L16" t="s">
        <v>110</v>
      </c>
      <c r="M16" t="s">
        <v>117</v>
      </c>
    </row>
    <row r="17" spans="1:13">
      <c r="A17" s="1" t="s">
        <v>118</v>
      </c>
      <c r="B17" s="2" t="str">
        <f>HYPERLINK("https://docket.philalegal.org/cgi-bin/proxy.pl?ct=181103305","181103305")</f>
        <v>181103305</v>
      </c>
      <c r="C17" s="3" t="s">
        <v>119</v>
      </c>
      <c r="D17" s="3" t="s">
        <v>96</v>
      </c>
      <c r="E17" s="3" t="s">
        <v>120</v>
      </c>
      <c r="F17" s="3" t="s">
        <v>89</v>
      </c>
      <c r="G17" s="3" t="s">
        <v>121</v>
      </c>
      <c r="H17" s="3"/>
      <c r="I17" s="3" t="s">
        <v>122</v>
      </c>
      <c r="J17" s="3" t="s">
        <v>123</v>
      </c>
      <c r="K17" s="3" t="s">
        <v>124</v>
      </c>
      <c r="L17" t="s">
        <v>110</v>
      </c>
      <c r="M17" t="s">
        <v>125</v>
      </c>
    </row>
    <row r="18" spans="1:13">
      <c r="A18" s="1" t="s">
        <v>126</v>
      </c>
      <c r="B18" s="2" t="str">
        <f>HYPERLINK("https://docket.philalegal.org/cgi-bin/proxy.pl?ct=201002008","201002008")</f>
        <v>201002008</v>
      </c>
      <c r="C18" s="3" t="s">
        <v>127</v>
      </c>
      <c r="D18" s="3" t="s">
        <v>26</v>
      </c>
      <c r="E18" s="3" t="s">
        <v>120</v>
      </c>
      <c r="F18" s="3" t="s">
        <v>89</v>
      </c>
      <c r="G18" s="3" t="s">
        <v>128</v>
      </c>
      <c r="H18" s="3" t="s">
        <v>129</v>
      </c>
      <c r="I18" s="3" t="s">
        <v>130</v>
      </c>
      <c r="J18" s="3" t="s">
        <v>131</v>
      </c>
      <c r="K18" s="3" t="s">
        <v>132</v>
      </c>
      <c r="L18" t="s">
        <v>22</v>
      </c>
    </row>
    <row r="19" spans="1:13">
      <c r="A19" s="1" t="s">
        <v>133</v>
      </c>
      <c r="B19" s="2" t="str">
        <f>HYPERLINK("https://docket.philalegal.org/cgi-bin/proxy.pl?ct=210501901","210501901")</f>
        <v>210501901</v>
      </c>
      <c r="C19" s="3" t="s">
        <v>134</v>
      </c>
      <c r="D19" s="3" t="s">
        <v>49</v>
      </c>
      <c r="E19" s="3" t="s">
        <v>120</v>
      </c>
      <c r="F19" s="3" t="s">
        <v>89</v>
      </c>
      <c r="G19" s="3" t="s">
        <v>135</v>
      </c>
      <c r="H19" s="3" t="s">
        <v>136</v>
      </c>
      <c r="I19" s="3" t="s">
        <v>137</v>
      </c>
      <c r="J19" s="3" t="s">
        <v>138</v>
      </c>
      <c r="K19" s="3" t="s">
        <v>139</v>
      </c>
      <c r="L19" t="s">
        <v>46</v>
      </c>
      <c r="M19" t="s">
        <v>140</v>
      </c>
    </row>
    <row r="20" spans="1:13">
      <c r="A20" s="1" t="s">
        <v>141</v>
      </c>
      <c r="B20" s="2" t="str">
        <f>HYPERLINK("https://docket.philalegal.org/cgi-bin/proxy.pl?ct=181200119","181200119")</f>
        <v>181200119</v>
      </c>
      <c r="C20" s="3" t="s">
        <v>142</v>
      </c>
      <c r="D20" s="3" t="s">
        <v>26</v>
      </c>
      <c r="E20" s="3" t="s">
        <v>120</v>
      </c>
      <c r="F20" s="3" t="s">
        <v>89</v>
      </c>
      <c r="G20" s="3" t="s">
        <v>143</v>
      </c>
      <c r="H20" s="3" t="s">
        <v>144</v>
      </c>
      <c r="I20" s="3" t="s">
        <v>145</v>
      </c>
      <c r="J20" s="3" t="s">
        <v>146</v>
      </c>
      <c r="K20" s="3" t="s">
        <v>132</v>
      </c>
      <c r="L20" t="s">
        <v>22</v>
      </c>
    </row>
    <row r="21" spans="1:13">
      <c r="A21" s="1" t="s">
        <v>147</v>
      </c>
      <c r="B21" s="2" t="str">
        <f>HYPERLINK("https://docket.philalegal.org/cgi-bin/proxy.pl?ct=211001239","211001239")</f>
        <v>211001239</v>
      </c>
      <c r="C21" s="3" t="s">
        <v>148</v>
      </c>
      <c r="D21" s="3" t="s">
        <v>49</v>
      </c>
      <c r="E21" s="3" t="s">
        <v>120</v>
      </c>
      <c r="F21" s="3" t="s">
        <v>89</v>
      </c>
      <c r="G21" s="3" t="s">
        <v>149</v>
      </c>
      <c r="H21" s="3" t="s">
        <v>150</v>
      </c>
      <c r="I21" s="3" t="s">
        <v>151</v>
      </c>
      <c r="J21" s="3" t="s">
        <v>152</v>
      </c>
      <c r="K21" s="3" t="s">
        <v>153</v>
      </c>
      <c r="L21" t="s">
        <v>46</v>
      </c>
      <c r="M21" t="s">
        <v>154</v>
      </c>
    </row>
    <row r="22" spans="1:13">
      <c r="A22" s="1" t="s">
        <v>155</v>
      </c>
      <c r="B22" s="2" t="str">
        <f>HYPERLINK("https://docket.philalegal.org/cgi-bin/proxy.pl?ct=170300302","170300302")</f>
        <v>170300302</v>
      </c>
      <c r="C22" s="3" t="s">
        <v>156</v>
      </c>
      <c r="D22" s="3" t="s">
        <v>96</v>
      </c>
      <c r="E22" s="3" t="s">
        <v>157</v>
      </c>
      <c r="F22" s="3" t="s">
        <v>158</v>
      </c>
      <c r="G22" s="3" t="s">
        <v>159</v>
      </c>
      <c r="H22" s="3"/>
      <c r="I22" s="3" t="s">
        <v>160</v>
      </c>
      <c r="J22" s="3">
        <v>123217300</v>
      </c>
      <c r="K22" s="3" t="s">
        <v>161</v>
      </c>
      <c r="L22" t="s">
        <v>162</v>
      </c>
    </row>
    <row r="23" spans="1:13">
      <c r="A23" s="1" t="s">
        <v>163</v>
      </c>
      <c r="B23" s="2" t="str">
        <f>HYPERLINK("https://docket.philalegal.org/cgi-bin/proxy.pl?ct=170204204","170204204")</f>
        <v>170204204</v>
      </c>
      <c r="C23" s="3" t="s">
        <v>164</v>
      </c>
      <c r="D23" s="3" t="s">
        <v>26</v>
      </c>
      <c r="E23" s="3" t="s">
        <v>165</v>
      </c>
      <c r="F23" s="3" t="s">
        <v>166</v>
      </c>
      <c r="G23" s="3" t="s">
        <v>167</v>
      </c>
      <c r="H23" s="3" t="s">
        <v>168</v>
      </c>
      <c r="I23" s="3" t="s">
        <v>169</v>
      </c>
      <c r="J23" s="3">
        <v>511123800</v>
      </c>
      <c r="K23" s="3" t="s">
        <v>170</v>
      </c>
      <c r="L23" t="s">
        <v>22</v>
      </c>
    </row>
    <row r="24" spans="1:13">
      <c r="A24" s="1" t="s">
        <v>171</v>
      </c>
      <c r="B24" s="2" t="str">
        <f>HYPERLINK("https://docket.philalegal.org/cgi-bin/proxy.pl?ct=170104752","170104752")</f>
        <v>170104752</v>
      </c>
      <c r="C24" s="3" t="s">
        <v>172</v>
      </c>
      <c r="D24" s="3" t="s">
        <v>26</v>
      </c>
      <c r="E24" s="3" t="s">
        <v>173</v>
      </c>
      <c r="F24" s="3" t="s">
        <v>105</v>
      </c>
      <c r="G24" s="3" t="s">
        <v>174</v>
      </c>
      <c r="H24" s="3" t="s">
        <v>175</v>
      </c>
      <c r="I24" s="3" t="s">
        <v>176</v>
      </c>
      <c r="J24" s="3">
        <v>361337005</v>
      </c>
      <c r="K24" s="3" t="s">
        <v>177</v>
      </c>
      <c r="L24" t="s">
        <v>22</v>
      </c>
    </row>
    <row r="25" spans="1:13">
      <c r="A25" s="1" t="s">
        <v>178</v>
      </c>
      <c r="B25" s="2" t="str">
        <f>HYPERLINK("https://docket.philalegal.org/cgi-bin/proxy.pl?ct=140801043","140801043")</f>
        <v>140801043</v>
      </c>
      <c r="C25" s="3" t="s">
        <v>179</v>
      </c>
      <c r="D25" s="3" t="s">
        <v>180</v>
      </c>
      <c r="E25" s="3" t="s">
        <v>181</v>
      </c>
      <c r="F25" s="3" t="s">
        <v>182</v>
      </c>
      <c r="G25" s="3" t="s">
        <v>183</v>
      </c>
      <c r="H25" s="3" t="s">
        <v>184</v>
      </c>
      <c r="I25" s="3" t="s">
        <v>185</v>
      </c>
      <c r="J25" s="3">
        <v>133157900</v>
      </c>
      <c r="K25" s="3" t="s">
        <v>186</v>
      </c>
      <c r="L25" t="s">
        <v>22</v>
      </c>
    </row>
    <row r="26" spans="1:13">
      <c r="A26" s="1" t="s">
        <v>187</v>
      </c>
      <c r="B26" s="2" t="str">
        <f>HYPERLINK("https://docket.philalegal.org/cgi-bin/proxy.pl?ct=130401062","130401062")</f>
        <v>130401062</v>
      </c>
      <c r="C26" s="3" t="s">
        <v>188</v>
      </c>
      <c r="D26" s="3" t="s">
        <v>189</v>
      </c>
      <c r="E26" s="3" t="s">
        <v>190</v>
      </c>
      <c r="F26" s="3" t="s">
        <v>191</v>
      </c>
      <c r="G26" s="3" t="s">
        <v>192</v>
      </c>
      <c r="H26" s="3"/>
      <c r="I26" s="3" t="s">
        <v>193</v>
      </c>
      <c r="J26" s="3">
        <v>302075700</v>
      </c>
      <c r="K26" s="3" t="s">
        <v>194</v>
      </c>
      <c r="L26" t="s">
        <v>195</v>
      </c>
    </row>
    <row r="27" spans="1:13">
      <c r="A27" s="1" t="s">
        <v>196</v>
      </c>
      <c r="B27" s="2" t="str">
        <f>HYPERLINK("https://docket.philalegal.org/cgi-bin/proxy.pl?ct=171202289","171202289")</f>
        <v>171202289</v>
      </c>
      <c r="C27" s="3" t="s">
        <v>197</v>
      </c>
      <c r="D27" s="3" t="s">
        <v>96</v>
      </c>
      <c r="E27" s="3" t="s">
        <v>198</v>
      </c>
      <c r="F27" s="3" t="s">
        <v>199</v>
      </c>
      <c r="G27" s="3" t="s">
        <v>200</v>
      </c>
      <c r="H27" s="3"/>
      <c r="I27" s="3" t="s">
        <v>201</v>
      </c>
      <c r="J27" s="3">
        <v>121055700</v>
      </c>
      <c r="K27" s="3" t="s">
        <v>202</v>
      </c>
      <c r="L27" t="s">
        <v>203</v>
      </c>
    </row>
    <row r="28" spans="1:13">
      <c r="A28" s="1" t="s">
        <v>204</v>
      </c>
      <c r="B28" s="2" t="str">
        <f>HYPERLINK("https://docket.philalegal.org/cgi-bin/proxy.pl?ct=180103217","180103217")</f>
        <v>180103217</v>
      </c>
      <c r="C28" s="3" t="s">
        <v>205</v>
      </c>
      <c r="D28" s="3" t="s">
        <v>15</v>
      </c>
      <c r="E28" s="3" t="s">
        <v>198</v>
      </c>
      <c r="F28" s="3" t="s">
        <v>206</v>
      </c>
      <c r="G28" s="3" t="s">
        <v>207</v>
      </c>
      <c r="H28" s="3"/>
      <c r="I28" s="3" t="s">
        <v>201</v>
      </c>
      <c r="J28" s="3">
        <v>121055700</v>
      </c>
      <c r="K28" s="3" t="s">
        <v>208</v>
      </c>
      <c r="L28" t="s">
        <v>209</v>
      </c>
    </row>
    <row r="29" spans="1:13">
      <c r="A29" s="1" t="s">
        <v>210</v>
      </c>
      <c r="B29" s="2" t="str">
        <f>HYPERLINK("https://docket.philalegal.org/cgi-bin/proxy.pl?ct=210901439","210901439")</f>
        <v>210901439</v>
      </c>
      <c r="C29" s="3" t="s">
        <v>211</v>
      </c>
      <c r="D29" s="3" t="s">
        <v>96</v>
      </c>
      <c r="E29" s="3" t="s">
        <v>212</v>
      </c>
      <c r="F29" s="3" t="s">
        <v>17</v>
      </c>
      <c r="G29" s="3" t="s">
        <v>213</v>
      </c>
      <c r="H29" s="3"/>
      <c r="I29" s="3" t="s">
        <v>214</v>
      </c>
      <c r="J29" s="3">
        <v>324177700</v>
      </c>
      <c r="K29" s="3" t="s">
        <v>215</v>
      </c>
      <c r="L29" t="s">
        <v>195</v>
      </c>
    </row>
    <row r="30" spans="1:13">
      <c r="A30" s="1" t="s">
        <v>216</v>
      </c>
      <c r="B30" s="2" t="str">
        <f>HYPERLINK("https://docket.philalegal.org/cgi-bin/proxy.pl?ct=221202517","221202517")</f>
        <v>221202517</v>
      </c>
      <c r="C30" s="3" t="s">
        <v>217</v>
      </c>
      <c r="D30" s="3" t="s">
        <v>61</v>
      </c>
      <c r="E30" s="3" t="s">
        <v>218</v>
      </c>
      <c r="F30" s="3"/>
      <c r="G30" s="3" t="s">
        <v>219</v>
      </c>
      <c r="H30" s="3"/>
      <c r="I30" s="3" t="s">
        <v>220</v>
      </c>
      <c r="J30" s="3"/>
      <c r="K30" s="3" t="s">
        <v>221</v>
      </c>
      <c r="L30" t="s">
        <v>46</v>
      </c>
    </row>
    <row r="31" spans="1:13">
      <c r="A31" s="1" t="s">
        <v>222</v>
      </c>
      <c r="B31" s="2" t="str">
        <f>HYPERLINK("https://docket.philalegal.org/cgi-bin/proxy.pl?ct=170403586","170403586")</f>
        <v>170403586</v>
      </c>
      <c r="C31" s="3" t="s">
        <v>223</v>
      </c>
      <c r="D31" s="3" t="s">
        <v>26</v>
      </c>
      <c r="E31" s="3" t="s">
        <v>224</v>
      </c>
      <c r="F31" s="3" t="s">
        <v>225</v>
      </c>
      <c r="G31" s="3" t="s">
        <v>226</v>
      </c>
      <c r="H31" s="3" t="s">
        <v>227</v>
      </c>
      <c r="I31" s="3" t="s">
        <v>228</v>
      </c>
      <c r="J31" s="3">
        <v>882917151</v>
      </c>
      <c r="K31" s="3" t="s">
        <v>229</v>
      </c>
      <c r="L31" t="s">
        <v>22</v>
      </c>
    </row>
    <row r="32" spans="1:13">
      <c r="A32" s="1" t="s">
        <v>230</v>
      </c>
      <c r="B32" s="2" t="str">
        <f>HYPERLINK("https://docket.philalegal.org/cgi-bin/proxy.pl?ct=130800752","130800752")</f>
        <v>130800752</v>
      </c>
      <c r="C32" s="3" t="s">
        <v>231</v>
      </c>
      <c r="D32" s="3" t="s">
        <v>96</v>
      </c>
      <c r="E32" s="3" t="s">
        <v>232</v>
      </c>
      <c r="F32" s="3" t="s">
        <v>17</v>
      </c>
      <c r="G32" s="3" t="s">
        <v>233</v>
      </c>
      <c r="H32" s="3" t="s">
        <v>234</v>
      </c>
      <c r="I32" s="3" t="s">
        <v>235</v>
      </c>
      <c r="J32" s="3">
        <v>453026100</v>
      </c>
      <c r="K32" s="3" t="s">
        <v>236</v>
      </c>
      <c r="L32" t="s">
        <v>237</v>
      </c>
    </row>
    <row r="33" spans="1:13">
      <c r="A33" s="1" t="s">
        <v>238</v>
      </c>
      <c r="B33" s="2" t="str">
        <f>HYPERLINK("https://docket.philalegal.org/cgi-bin/proxy.pl?ct=120602055","120602055")</f>
        <v>120602055</v>
      </c>
      <c r="C33" s="3" t="s">
        <v>239</v>
      </c>
      <c r="D33" s="3" t="s">
        <v>180</v>
      </c>
      <c r="E33" s="3" t="s">
        <v>232</v>
      </c>
      <c r="F33" s="3" t="s">
        <v>17</v>
      </c>
      <c r="G33" s="3" t="s">
        <v>240</v>
      </c>
      <c r="H33" s="3"/>
      <c r="I33" s="3" t="s">
        <v>241</v>
      </c>
      <c r="J33" s="3">
        <v>453322610</v>
      </c>
      <c r="K33" s="3" t="s">
        <v>242</v>
      </c>
      <c r="L33" t="s">
        <v>22</v>
      </c>
    </row>
    <row r="34" spans="1:13">
      <c r="A34" s="1" t="s">
        <v>243</v>
      </c>
      <c r="B34" s="2" t="str">
        <f>HYPERLINK("https://docket.philalegal.org/cgi-bin/proxy.pl?ct=120301242","120301242")</f>
        <v>120301242</v>
      </c>
      <c r="C34" s="3" t="s">
        <v>244</v>
      </c>
      <c r="D34" s="3" t="s">
        <v>189</v>
      </c>
      <c r="E34" s="3" t="s">
        <v>245</v>
      </c>
      <c r="F34" s="3" t="s">
        <v>17</v>
      </c>
      <c r="G34" s="3" t="s">
        <v>246</v>
      </c>
      <c r="H34" s="3"/>
      <c r="I34" s="3" t="s">
        <v>247</v>
      </c>
      <c r="J34" s="3" t="s">
        <v>248</v>
      </c>
      <c r="K34" s="3" t="s">
        <v>249</v>
      </c>
      <c r="L34" t="s">
        <v>203</v>
      </c>
    </row>
    <row r="35" spans="1:13">
      <c r="A35" s="1" t="s">
        <v>250</v>
      </c>
      <c r="B35" s="2" t="str">
        <f>HYPERLINK("https://docket.philalegal.org/cgi-bin/proxy.pl?ct=210800153","210800153")</f>
        <v>210800153</v>
      </c>
      <c r="C35" s="3" t="s">
        <v>251</v>
      </c>
      <c r="D35" s="3" t="s">
        <v>49</v>
      </c>
      <c r="E35" s="3" t="s">
        <v>252</v>
      </c>
      <c r="F35" s="3" t="s">
        <v>253</v>
      </c>
      <c r="G35" s="3" t="s">
        <v>254</v>
      </c>
      <c r="H35" s="3" t="s">
        <v>255</v>
      </c>
      <c r="I35" s="3" t="s">
        <v>256</v>
      </c>
      <c r="J35" s="3" t="s">
        <v>257</v>
      </c>
      <c r="K35" s="3" t="s">
        <v>258</v>
      </c>
      <c r="L35" t="s">
        <v>22</v>
      </c>
    </row>
    <row r="36" spans="1:13">
      <c r="A36" s="1" t="s">
        <v>259</v>
      </c>
      <c r="B36" s="2" t="str">
        <f>HYPERLINK("https://docket.philalegal.org/cgi-bin/proxy.pl?ct=110804678","110804678")</f>
        <v>110804678</v>
      </c>
      <c r="C36" s="3" t="s">
        <v>260</v>
      </c>
      <c r="D36" s="3" t="s">
        <v>261</v>
      </c>
      <c r="E36" s="3" t="s">
        <v>262</v>
      </c>
      <c r="F36" s="3" t="s">
        <v>17</v>
      </c>
      <c r="G36" s="3" t="s">
        <v>263</v>
      </c>
      <c r="H36" s="3" t="s">
        <v>264</v>
      </c>
      <c r="I36" s="3" t="s">
        <v>265</v>
      </c>
      <c r="J36" s="3" t="s">
        <v>266</v>
      </c>
      <c r="K36" s="3" t="s">
        <v>267</v>
      </c>
      <c r="L36" t="s">
        <v>237</v>
      </c>
    </row>
    <row r="37" spans="1:13">
      <c r="A37" s="1" t="s">
        <v>268</v>
      </c>
      <c r="B37" s="2" t="str">
        <f>HYPERLINK("https://docket.philalegal.org/cgi-bin/proxy.pl?ct=160804279","160804279")</f>
        <v>160804279</v>
      </c>
      <c r="C37" s="3" t="s">
        <v>269</v>
      </c>
      <c r="D37" s="3" t="s">
        <v>26</v>
      </c>
      <c r="E37" s="3" t="s">
        <v>270</v>
      </c>
      <c r="F37" s="3" t="s">
        <v>105</v>
      </c>
      <c r="G37" s="3" t="s">
        <v>271</v>
      </c>
      <c r="H37" s="3"/>
      <c r="I37" s="3" t="s">
        <v>272</v>
      </c>
      <c r="J37" s="3">
        <v>242036700</v>
      </c>
      <c r="K37" s="3" t="s">
        <v>273</v>
      </c>
      <c r="L37" t="s">
        <v>22</v>
      </c>
    </row>
    <row r="38" spans="1:13">
      <c r="A38" s="1" t="s">
        <v>274</v>
      </c>
      <c r="B38" s="2" t="str">
        <f>HYPERLINK("https://docket.philalegal.org/cgi-bin/proxy.pl?ct=170700893","170700893")</f>
        <v>170700893</v>
      </c>
      <c r="C38" s="3" t="s">
        <v>269</v>
      </c>
      <c r="D38" s="3" t="s">
        <v>26</v>
      </c>
      <c r="E38" s="3" t="s">
        <v>270</v>
      </c>
      <c r="F38" s="3" t="s">
        <v>105</v>
      </c>
      <c r="G38" s="3" t="s">
        <v>275</v>
      </c>
      <c r="H38" s="3"/>
      <c r="I38" s="3" t="s">
        <v>272</v>
      </c>
      <c r="J38" s="3">
        <v>242036700</v>
      </c>
      <c r="K38" s="3" t="s">
        <v>276</v>
      </c>
      <c r="L38" t="s">
        <v>22</v>
      </c>
    </row>
    <row r="39" spans="1:13">
      <c r="A39" s="1" t="s">
        <v>277</v>
      </c>
      <c r="B39" s="2" t="str">
        <f>HYPERLINK("https://docket.philalegal.org/cgi-bin/proxy.pl?ct=180103425","180103425")</f>
        <v>180103425</v>
      </c>
      <c r="C39" s="3" t="s">
        <v>278</v>
      </c>
      <c r="D39" s="3" t="s">
        <v>96</v>
      </c>
      <c r="E39" s="3" t="s">
        <v>270</v>
      </c>
      <c r="F39" s="3" t="s">
        <v>105</v>
      </c>
      <c r="G39" s="3" t="s">
        <v>275</v>
      </c>
      <c r="H39" s="3"/>
      <c r="I39" s="3" t="s">
        <v>272</v>
      </c>
      <c r="J39" s="3">
        <v>242036700</v>
      </c>
      <c r="K39" s="3" t="s">
        <v>279</v>
      </c>
      <c r="L39" t="s">
        <v>162</v>
      </c>
      <c r="M39" t="s">
        <v>280</v>
      </c>
    </row>
    <row r="40" spans="1:13">
      <c r="A40" s="1" t="s">
        <v>281</v>
      </c>
      <c r="B40" s="2" t="str">
        <f>HYPERLINK("https://docket.philalegal.org/cgi-bin/proxy.pl?ct=200701903","200701903")</f>
        <v>200701903</v>
      </c>
      <c r="C40" s="3" t="s">
        <v>282</v>
      </c>
      <c r="D40" s="3" t="s">
        <v>96</v>
      </c>
      <c r="E40" s="3" t="s">
        <v>283</v>
      </c>
      <c r="F40" s="3" t="s">
        <v>253</v>
      </c>
      <c r="G40" s="3" t="s">
        <v>284</v>
      </c>
      <c r="H40" s="3" t="s">
        <v>285</v>
      </c>
      <c r="I40" s="3" t="s">
        <v>286</v>
      </c>
      <c r="J40" s="3">
        <v>871068950</v>
      </c>
      <c r="K40" s="3" t="s">
        <v>287</v>
      </c>
      <c r="L40" t="s">
        <v>288</v>
      </c>
    </row>
    <row r="41" spans="1:13">
      <c r="A41" s="1" t="s">
        <v>289</v>
      </c>
      <c r="B41" s="2" t="str">
        <f>HYPERLINK("https://docket.philalegal.org/cgi-bin/proxy.pl?ct=200701909","200701909")</f>
        <v>200701909</v>
      </c>
      <c r="C41" s="3" t="s">
        <v>290</v>
      </c>
      <c r="D41" s="3" t="s">
        <v>49</v>
      </c>
      <c r="E41" s="3" t="s">
        <v>283</v>
      </c>
      <c r="F41" s="3" t="s">
        <v>253</v>
      </c>
      <c r="G41" s="3" t="s">
        <v>291</v>
      </c>
      <c r="H41" s="3" t="s">
        <v>292</v>
      </c>
      <c r="I41" s="3" t="s">
        <v>293</v>
      </c>
      <c r="J41" s="3" t="s">
        <v>294</v>
      </c>
      <c r="K41" s="3" t="s">
        <v>295</v>
      </c>
      <c r="L41" t="s">
        <v>22</v>
      </c>
    </row>
    <row r="42" spans="1:13">
      <c r="A42" s="1" t="s">
        <v>296</v>
      </c>
      <c r="B42" s="2" t="str">
        <f>HYPERLINK("https://docket.philalegal.org/cgi-bin/proxy.pl?ct=200701879","200701879")</f>
        <v>200701879</v>
      </c>
      <c r="C42" s="3" t="s">
        <v>297</v>
      </c>
      <c r="D42" s="3" t="s">
        <v>96</v>
      </c>
      <c r="E42" s="3" t="s">
        <v>283</v>
      </c>
      <c r="F42" s="3" t="s">
        <v>253</v>
      </c>
      <c r="G42" s="3" t="s">
        <v>298</v>
      </c>
      <c r="H42" s="3" t="s">
        <v>299</v>
      </c>
      <c r="I42" s="3" t="s">
        <v>300</v>
      </c>
      <c r="J42" s="3">
        <v>871069400</v>
      </c>
      <c r="K42" s="3" t="s">
        <v>287</v>
      </c>
      <c r="L42" t="s">
        <v>203</v>
      </c>
    </row>
    <row r="43" spans="1:13">
      <c r="A43" s="1" t="s">
        <v>301</v>
      </c>
      <c r="B43" s="2" t="str">
        <f>HYPERLINK("https://docket.philalegal.org/cgi-bin/proxy.pl?ct=160101537","160101537")</f>
        <v>160101537</v>
      </c>
      <c r="C43" s="3" t="s">
        <v>302</v>
      </c>
      <c r="D43" s="3" t="s">
        <v>26</v>
      </c>
      <c r="E43" s="3" t="s">
        <v>303</v>
      </c>
      <c r="F43" s="3" t="s">
        <v>158</v>
      </c>
      <c r="G43" s="3" t="s">
        <v>304</v>
      </c>
      <c r="H43" s="3" t="s">
        <v>305</v>
      </c>
      <c r="I43" s="3" t="s">
        <v>306</v>
      </c>
      <c r="J43" s="3">
        <v>151380400</v>
      </c>
      <c r="K43" s="3" t="s">
        <v>307</v>
      </c>
      <c r="L43" t="s">
        <v>22</v>
      </c>
    </row>
    <row r="44" spans="1:13">
      <c r="A44" s="1" t="s">
        <v>308</v>
      </c>
      <c r="B44" s="2" t="str">
        <f>HYPERLINK("https://docket.philalegal.org/cgi-bin/proxy.pl?ct=160103064","160103064")</f>
        <v>160103064</v>
      </c>
      <c r="C44" s="3" t="s">
        <v>309</v>
      </c>
      <c r="D44" s="3" t="s">
        <v>26</v>
      </c>
      <c r="E44" s="3" t="s">
        <v>303</v>
      </c>
      <c r="F44" s="3" t="s">
        <v>158</v>
      </c>
      <c r="G44" s="3" t="s">
        <v>310</v>
      </c>
      <c r="H44" s="3"/>
      <c r="I44" s="3" t="s">
        <v>311</v>
      </c>
      <c r="J44" s="3">
        <v>152273200</v>
      </c>
      <c r="K44" s="3" t="s">
        <v>312</v>
      </c>
      <c r="L44" t="s">
        <v>22</v>
      </c>
    </row>
    <row r="45" spans="1:13">
      <c r="A45" s="1" t="s">
        <v>313</v>
      </c>
      <c r="B45" s="2" t="str">
        <f>HYPERLINK("https://docket.philalegal.org/cgi-bin/proxy.pl?ct=160201702","160201702")</f>
        <v>160201702</v>
      </c>
      <c r="C45" s="3" t="s">
        <v>314</v>
      </c>
      <c r="D45" s="3" t="s">
        <v>26</v>
      </c>
      <c r="E45" s="3" t="s">
        <v>303</v>
      </c>
      <c r="F45" s="3" t="s">
        <v>158</v>
      </c>
      <c r="G45" s="3" t="s">
        <v>315</v>
      </c>
      <c r="H45" s="3"/>
      <c r="I45" s="3" t="s">
        <v>316</v>
      </c>
      <c r="J45" s="3">
        <v>151352610</v>
      </c>
      <c r="K45" s="3" t="s">
        <v>307</v>
      </c>
      <c r="L45" t="s">
        <v>22</v>
      </c>
    </row>
    <row r="46" spans="1:13">
      <c r="A46" s="1" t="s">
        <v>317</v>
      </c>
      <c r="B46" s="2" t="str">
        <f>HYPERLINK("https://docket.philalegal.org/cgi-bin/proxy.pl?ct=150304356","150304356")</f>
        <v>150304356</v>
      </c>
      <c r="C46" s="3" t="s">
        <v>318</v>
      </c>
      <c r="D46" s="3" t="s">
        <v>26</v>
      </c>
      <c r="E46" s="3" t="s">
        <v>319</v>
      </c>
      <c r="F46" s="3" t="s">
        <v>158</v>
      </c>
      <c r="G46" s="3" t="s">
        <v>320</v>
      </c>
      <c r="H46" s="3" t="s">
        <v>321</v>
      </c>
      <c r="I46" s="3" t="s">
        <v>322</v>
      </c>
      <c r="J46" s="3">
        <v>152161500</v>
      </c>
      <c r="K46" s="3" t="s">
        <v>323</v>
      </c>
      <c r="L46" t="s">
        <v>22</v>
      </c>
    </row>
    <row r="47" spans="1:13">
      <c r="A47" s="1" t="s">
        <v>324</v>
      </c>
      <c r="B47" s="2" t="str">
        <f>HYPERLINK("https://docket.philalegal.org/cgi-bin/proxy.pl?ct=150300342","150300342")</f>
        <v>150300342</v>
      </c>
      <c r="C47" s="3" t="s">
        <v>325</v>
      </c>
      <c r="D47" s="3" t="s">
        <v>96</v>
      </c>
      <c r="E47" s="3" t="s">
        <v>319</v>
      </c>
      <c r="F47" s="3" t="s">
        <v>158</v>
      </c>
      <c r="G47" s="3" t="s">
        <v>326</v>
      </c>
      <c r="H47" s="3"/>
      <c r="I47" s="3" t="s">
        <v>327</v>
      </c>
      <c r="J47" s="3">
        <v>151100900</v>
      </c>
      <c r="K47" s="3" t="s">
        <v>328</v>
      </c>
      <c r="L47" t="s">
        <v>195</v>
      </c>
    </row>
    <row r="48" spans="1:13">
      <c r="A48" s="1" t="s">
        <v>329</v>
      </c>
      <c r="B48" s="2" t="str">
        <f>HYPERLINK("https://docket.philalegal.org/cgi-bin/proxy.pl?ct=150402181","150402181")</f>
        <v>150402181</v>
      </c>
      <c r="C48" s="3" t="s">
        <v>325</v>
      </c>
      <c r="D48" s="3" t="s">
        <v>26</v>
      </c>
      <c r="E48" s="3" t="s">
        <v>319</v>
      </c>
      <c r="F48" s="3" t="s">
        <v>330</v>
      </c>
      <c r="G48" s="3" t="s">
        <v>326</v>
      </c>
      <c r="H48" s="3" t="s">
        <v>331</v>
      </c>
      <c r="I48" s="3" t="s">
        <v>327</v>
      </c>
      <c r="J48" s="3">
        <v>151100900</v>
      </c>
      <c r="K48" s="3" t="s">
        <v>332</v>
      </c>
      <c r="L48" t="s">
        <v>22</v>
      </c>
    </row>
    <row r="49" spans="1:13">
      <c r="A49" s="1" t="s">
        <v>333</v>
      </c>
      <c r="B49" s="2" t="str">
        <f>HYPERLINK("https://docket.philalegal.org/cgi-bin/proxy.pl?ct=140701253","140701253")</f>
        <v>140701253</v>
      </c>
      <c r="C49" s="3" t="s">
        <v>334</v>
      </c>
      <c r="D49" s="3" t="s">
        <v>96</v>
      </c>
      <c r="E49" s="3" t="s">
        <v>319</v>
      </c>
      <c r="F49" s="3" t="s">
        <v>335</v>
      </c>
      <c r="G49" s="3" t="s">
        <v>336</v>
      </c>
      <c r="H49" s="3" t="s">
        <v>337</v>
      </c>
      <c r="I49" s="3" t="s">
        <v>338</v>
      </c>
      <c r="J49" s="3">
        <v>291285100</v>
      </c>
      <c r="K49" s="3" t="s">
        <v>339</v>
      </c>
      <c r="L49" t="s">
        <v>22</v>
      </c>
    </row>
    <row r="50" spans="1:13">
      <c r="A50" s="1" t="s">
        <v>340</v>
      </c>
      <c r="B50" s="2" t="str">
        <f>HYPERLINK("https://docket.philalegal.org/cgi-bin/proxy.pl?ct=150802011","150802011")</f>
        <v>150802011</v>
      </c>
      <c r="C50" s="3" t="s">
        <v>341</v>
      </c>
      <c r="D50" s="3" t="s">
        <v>96</v>
      </c>
      <c r="E50" s="3" t="s">
        <v>319</v>
      </c>
      <c r="F50" s="3" t="s">
        <v>158</v>
      </c>
      <c r="G50" s="3" t="s">
        <v>342</v>
      </c>
      <c r="H50" s="3" t="s">
        <v>343</v>
      </c>
      <c r="I50" s="3" t="s">
        <v>344</v>
      </c>
      <c r="J50" s="3">
        <v>888154168</v>
      </c>
      <c r="K50" s="3" t="s">
        <v>345</v>
      </c>
      <c r="L50" t="s">
        <v>195</v>
      </c>
    </row>
    <row r="51" spans="1:13">
      <c r="A51" s="1" t="s">
        <v>346</v>
      </c>
      <c r="B51" s="2" t="str">
        <f>HYPERLINK("https://docket.philalegal.org/cgi-bin/proxy.pl?ct=170500758","170500758")</f>
        <v>170500758</v>
      </c>
      <c r="C51" s="3" t="s">
        <v>347</v>
      </c>
      <c r="D51" s="3" t="s">
        <v>189</v>
      </c>
      <c r="E51" s="3" t="s">
        <v>348</v>
      </c>
      <c r="F51" s="3" t="s">
        <v>349</v>
      </c>
      <c r="G51" s="3" t="s">
        <v>350</v>
      </c>
      <c r="H51" s="3"/>
      <c r="I51" s="3" t="s">
        <v>351</v>
      </c>
      <c r="J51" s="3">
        <v>292017810</v>
      </c>
      <c r="K51" s="3" t="s">
        <v>189</v>
      </c>
      <c r="L51" t="s">
        <v>352</v>
      </c>
      <c r="M51" t="s">
        <v>353</v>
      </c>
    </row>
    <row r="52" spans="1:13">
      <c r="A52" s="1" t="s">
        <v>354</v>
      </c>
      <c r="B52" s="2" t="str">
        <f>HYPERLINK("https://docket.philalegal.org/cgi-bin/proxy.pl?ct=220102238","220102238")</f>
        <v>220102238</v>
      </c>
      <c r="C52" s="3" t="s">
        <v>355</v>
      </c>
      <c r="D52" s="3" t="s">
        <v>26</v>
      </c>
      <c r="E52" s="3" t="s">
        <v>356</v>
      </c>
      <c r="F52" s="3" t="s">
        <v>357</v>
      </c>
      <c r="G52" s="3" t="s">
        <v>358</v>
      </c>
      <c r="H52" s="3"/>
      <c r="I52" s="3" t="s">
        <v>359</v>
      </c>
      <c r="J52" s="3">
        <v>453151800</v>
      </c>
      <c r="K52" s="3" t="s">
        <v>360</v>
      </c>
      <c r="L52" t="s">
        <v>22</v>
      </c>
    </row>
    <row r="53" spans="1:13">
      <c r="A53" s="1" t="s">
        <v>361</v>
      </c>
      <c r="B53" s="2" t="str">
        <f>HYPERLINK("https://docket.philalegal.org/cgi-bin/proxy.pl?ct=181102698","181102698")</f>
        <v>181102698</v>
      </c>
      <c r="C53" s="3" t="s">
        <v>362</v>
      </c>
      <c r="D53" s="3" t="s">
        <v>96</v>
      </c>
      <c r="E53" s="3" t="s">
        <v>356</v>
      </c>
      <c r="F53" s="3" t="s">
        <v>363</v>
      </c>
      <c r="G53" s="3" t="s">
        <v>364</v>
      </c>
      <c r="H53" s="3"/>
      <c r="I53" s="3" t="s">
        <v>365</v>
      </c>
      <c r="J53" s="3">
        <v>213117900</v>
      </c>
      <c r="K53" s="3" t="s">
        <v>366</v>
      </c>
      <c r="L53" t="s">
        <v>195</v>
      </c>
    </row>
    <row r="54" spans="1:13">
      <c r="A54" s="1" t="s">
        <v>367</v>
      </c>
      <c r="B54" s="2" t="str">
        <f>HYPERLINK("https://docket.philalegal.org/cgi-bin/proxy.pl?ct=190100730","190100730")</f>
        <v>190100730</v>
      </c>
      <c r="C54" s="3" t="s">
        <v>368</v>
      </c>
      <c r="D54" s="3" t="s">
        <v>26</v>
      </c>
      <c r="E54" s="3" t="s">
        <v>356</v>
      </c>
      <c r="F54" s="3" t="s">
        <v>369</v>
      </c>
      <c r="G54" s="3" t="s">
        <v>364</v>
      </c>
      <c r="H54" s="3" t="s">
        <v>370</v>
      </c>
      <c r="I54" s="3" t="s">
        <v>365</v>
      </c>
      <c r="J54" s="3">
        <v>213117900</v>
      </c>
      <c r="K54" s="3" t="s">
        <v>371</v>
      </c>
      <c r="L54" t="s">
        <v>22</v>
      </c>
      <c r="M54" t="s">
        <v>372</v>
      </c>
    </row>
    <row r="55" spans="1:13">
      <c r="A55" s="1" t="s">
        <v>373</v>
      </c>
      <c r="B55" s="2" t="str">
        <f>HYPERLINK("https://docket.philalegal.org/cgi-bin/proxy.pl?ct=221101276","221101276")</f>
        <v>221101276</v>
      </c>
      <c r="C55" s="3" t="s">
        <v>374</v>
      </c>
      <c r="D55" s="3" t="s">
        <v>15</v>
      </c>
      <c r="E55" s="3" t="s">
        <v>356</v>
      </c>
      <c r="F55" s="3" t="s">
        <v>375</v>
      </c>
      <c r="G55" s="3" t="s">
        <v>376</v>
      </c>
      <c r="H55" s="3"/>
      <c r="I55" s="3" t="s">
        <v>377</v>
      </c>
      <c r="J55" s="3">
        <v>152273400</v>
      </c>
      <c r="K55" s="3" t="s">
        <v>378</v>
      </c>
      <c r="L55" t="s">
        <v>209</v>
      </c>
    </row>
    <row r="56" spans="1:13">
      <c r="A56" s="1" t="s">
        <v>379</v>
      </c>
      <c r="B56" s="2" t="str">
        <f>HYPERLINK("https://docket.philalegal.org/cgi-bin/proxy.pl?ct=221102750","221102750")</f>
        <v>221102750</v>
      </c>
      <c r="C56" s="3" t="s">
        <v>374</v>
      </c>
      <c r="D56" s="3" t="s">
        <v>49</v>
      </c>
      <c r="E56" s="3" t="s">
        <v>356</v>
      </c>
      <c r="F56" s="3" t="s">
        <v>335</v>
      </c>
      <c r="G56" s="3" t="s">
        <v>376</v>
      </c>
      <c r="H56" s="3"/>
      <c r="I56" s="3" t="s">
        <v>377</v>
      </c>
      <c r="J56" s="3">
        <v>152273400</v>
      </c>
      <c r="K56" s="3" t="s">
        <v>380</v>
      </c>
      <c r="L56" t="s">
        <v>46</v>
      </c>
    </row>
    <row r="57" spans="1:13">
      <c r="A57" s="1" t="s">
        <v>381</v>
      </c>
      <c r="B57" s="2" t="str">
        <f>HYPERLINK("https://docket.philalegal.org/cgi-bin/proxy.pl?ct=221101292","221101292")</f>
        <v>221101292</v>
      </c>
      <c r="C57" s="3" t="s">
        <v>382</v>
      </c>
      <c r="D57" s="3" t="s">
        <v>49</v>
      </c>
      <c r="E57" s="3" t="s">
        <v>356</v>
      </c>
      <c r="F57" s="3" t="s">
        <v>383</v>
      </c>
      <c r="G57" s="3" t="s">
        <v>384</v>
      </c>
      <c r="H57" s="3"/>
      <c r="I57" s="3" t="s">
        <v>385</v>
      </c>
      <c r="J57" s="3">
        <v>323117500</v>
      </c>
      <c r="K57" s="3" t="s">
        <v>386</v>
      </c>
      <c r="L57" t="s">
        <v>46</v>
      </c>
    </row>
    <row r="58" spans="1:13">
      <c r="A58" s="1" t="s">
        <v>387</v>
      </c>
      <c r="B58" s="2" t="str">
        <f>HYPERLINK("https://docket.philalegal.org/cgi-bin/proxy.pl?ct=190100867","190100867")</f>
        <v>190100867</v>
      </c>
      <c r="C58" s="3" t="s">
        <v>388</v>
      </c>
      <c r="D58" s="3" t="s">
        <v>96</v>
      </c>
      <c r="E58" s="3" t="s">
        <v>356</v>
      </c>
      <c r="F58" s="3" t="s">
        <v>369</v>
      </c>
      <c r="G58" s="3" t="s">
        <v>389</v>
      </c>
      <c r="H58" s="3"/>
      <c r="I58" s="3" t="s">
        <v>390</v>
      </c>
      <c r="J58" s="3">
        <v>777504900</v>
      </c>
      <c r="K58" s="3" t="s">
        <v>391</v>
      </c>
      <c r="L58" t="s">
        <v>203</v>
      </c>
    </row>
    <row r="59" spans="1:13">
      <c r="A59" s="1" t="s">
        <v>392</v>
      </c>
      <c r="B59" s="2" t="str">
        <f>HYPERLINK("https://docket.philalegal.org/cgi-bin/proxy.pl?ct=220200350","220200350")</f>
        <v>220200350</v>
      </c>
      <c r="C59" s="3" t="s">
        <v>393</v>
      </c>
      <c r="D59" s="3" t="s">
        <v>96</v>
      </c>
      <c r="E59" s="3" t="s">
        <v>394</v>
      </c>
      <c r="F59" s="3"/>
      <c r="G59" s="3" t="s">
        <v>395</v>
      </c>
      <c r="H59" s="3" t="s">
        <v>396</v>
      </c>
      <c r="I59" s="3" t="s">
        <v>397</v>
      </c>
      <c r="J59" s="3">
        <v>885119504</v>
      </c>
      <c r="K59" s="3" t="s">
        <v>398</v>
      </c>
      <c r="L59" t="s">
        <v>195</v>
      </c>
    </row>
    <row r="60" spans="1:13">
      <c r="A60" s="1" t="s">
        <v>399</v>
      </c>
      <c r="B60" s="2" t="str">
        <f>HYPERLINK("https://docket.philalegal.org/cgi-bin/proxy.pl?ct=221200952","221200952")</f>
        <v>221200952</v>
      </c>
      <c r="C60" s="3" t="s">
        <v>400</v>
      </c>
      <c r="D60" s="3" t="s">
        <v>61</v>
      </c>
      <c r="E60" s="3" t="s">
        <v>401</v>
      </c>
      <c r="F60" s="3" t="s">
        <v>17</v>
      </c>
      <c r="G60" s="3" t="s">
        <v>402</v>
      </c>
      <c r="H60" s="3"/>
      <c r="I60" s="3" t="s">
        <v>403</v>
      </c>
      <c r="J60" s="3">
        <v>112051900</v>
      </c>
      <c r="K60" s="3" t="s">
        <v>404</v>
      </c>
      <c r="L60" t="s">
        <v>46</v>
      </c>
    </row>
    <row r="61" spans="1:13">
      <c r="A61" s="1" t="s">
        <v>405</v>
      </c>
      <c r="B61" s="2" t="str">
        <f>HYPERLINK("https://docket.philalegal.org/cgi-bin/proxy.pl?ct=111102292","111102292")</f>
        <v>111102292</v>
      </c>
      <c r="C61" s="3" t="s">
        <v>406</v>
      </c>
      <c r="D61" s="3" t="s">
        <v>96</v>
      </c>
      <c r="E61" s="3" t="s">
        <v>407</v>
      </c>
      <c r="F61" s="3" t="s">
        <v>17</v>
      </c>
      <c r="G61" s="3" t="s">
        <v>408</v>
      </c>
      <c r="H61" s="3"/>
      <c r="I61" s="3" t="s">
        <v>409</v>
      </c>
      <c r="J61" s="3" t="s">
        <v>410</v>
      </c>
      <c r="K61" s="3" t="s">
        <v>411</v>
      </c>
      <c r="L61" t="s">
        <v>237</v>
      </c>
    </row>
    <row r="62" spans="1:13">
      <c r="A62" s="1" t="s">
        <v>412</v>
      </c>
      <c r="B62" s="2" t="str">
        <f>HYPERLINK("https://docket.philalegal.org/cgi-bin/proxy.pl?ct=211000299","211000299")</f>
        <v>211000299</v>
      </c>
      <c r="C62" s="3" t="s">
        <v>413</v>
      </c>
      <c r="D62" s="3" t="s">
        <v>26</v>
      </c>
      <c r="E62" s="3" t="s">
        <v>414</v>
      </c>
      <c r="F62" s="3" t="s">
        <v>415</v>
      </c>
      <c r="G62" s="3" t="s">
        <v>416</v>
      </c>
      <c r="H62" s="3" t="s">
        <v>417</v>
      </c>
      <c r="I62" s="3" t="s">
        <v>418</v>
      </c>
      <c r="J62" s="3">
        <v>521256600</v>
      </c>
      <c r="K62" s="3" t="s">
        <v>419</v>
      </c>
      <c r="L62" t="s">
        <v>22</v>
      </c>
    </row>
    <row r="63" spans="1:13">
      <c r="A63" s="1" t="s">
        <v>420</v>
      </c>
      <c r="B63" s="2" t="str">
        <f>HYPERLINK("https://docket.philalegal.org/cgi-bin/proxy.pl?ct=160202956","160202956")</f>
        <v>160202956</v>
      </c>
      <c r="C63" s="3" t="s">
        <v>421</v>
      </c>
      <c r="D63" s="3" t="s">
        <v>26</v>
      </c>
      <c r="E63" s="3" t="s">
        <v>191</v>
      </c>
      <c r="F63" s="3" t="s">
        <v>158</v>
      </c>
      <c r="G63" s="3" t="s">
        <v>422</v>
      </c>
      <c r="H63" s="3"/>
      <c r="I63" s="3" t="s">
        <v>423</v>
      </c>
      <c r="J63" s="3">
        <v>302075000</v>
      </c>
      <c r="K63" s="3" t="s">
        <v>424</v>
      </c>
      <c r="L63" t="s">
        <v>22</v>
      </c>
    </row>
    <row r="64" spans="1:13">
      <c r="A64" s="1" t="s">
        <v>425</v>
      </c>
      <c r="B64" s="2" t="str">
        <f>HYPERLINK("https://docket.philalegal.org/cgi-bin/proxy.pl?ct=140302691","140302691")</f>
        <v>140302691</v>
      </c>
      <c r="C64" s="3" t="s">
        <v>426</v>
      </c>
      <c r="D64" s="3" t="s">
        <v>96</v>
      </c>
      <c r="E64" s="3" t="s">
        <v>427</v>
      </c>
      <c r="F64" s="3" t="s">
        <v>428</v>
      </c>
      <c r="G64" s="3" t="s">
        <v>429</v>
      </c>
      <c r="H64" s="3" t="s">
        <v>430</v>
      </c>
      <c r="I64" s="3" t="s">
        <v>300</v>
      </c>
      <c r="J64" s="3">
        <v>871069400</v>
      </c>
      <c r="K64" s="3" t="s">
        <v>431</v>
      </c>
      <c r="L64" t="s">
        <v>203</v>
      </c>
    </row>
    <row r="65" spans="1:13">
      <c r="A65" s="1" t="s">
        <v>432</v>
      </c>
      <c r="B65" s="2" t="str">
        <f>HYPERLINK("https://docket.philalegal.org/cgi-bin/proxy.pl?ct=110402129","110402129")</f>
        <v>110402129</v>
      </c>
      <c r="C65" s="3" t="s">
        <v>433</v>
      </c>
      <c r="D65" s="3" t="s">
        <v>15</v>
      </c>
      <c r="E65" s="3" t="s">
        <v>434</v>
      </c>
      <c r="F65" s="3" t="s">
        <v>17</v>
      </c>
      <c r="G65" s="3" t="s">
        <v>435</v>
      </c>
      <c r="H65" s="3"/>
      <c r="I65" s="3" t="s">
        <v>436</v>
      </c>
      <c r="J65" s="3">
        <v>292194300</v>
      </c>
      <c r="K65" s="3" t="s">
        <v>15</v>
      </c>
      <c r="L65" t="s">
        <v>437</v>
      </c>
    </row>
    <row r="66" spans="1:13">
      <c r="A66" s="1" t="s">
        <v>438</v>
      </c>
      <c r="B66" s="2" t="str">
        <f>HYPERLINK("https://docket.philalegal.org/cgi-bin/proxy.pl?ct=180602687","180602687")</f>
        <v>180602687</v>
      </c>
      <c r="C66" s="3" t="s">
        <v>439</v>
      </c>
      <c r="D66" s="3" t="s">
        <v>96</v>
      </c>
      <c r="E66" s="3" t="s">
        <v>440</v>
      </c>
      <c r="F66" s="3" t="s">
        <v>441</v>
      </c>
      <c r="G66" s="3" t="s">
        <v>442</v>
      </c>
      <c r="H66" s="3" t="s">
        <v>158</v>
      </c>
      <c r="I66" s="3" t="s">
        <v>443</v>
      </c>
      <c r="J66" s="3">
        <v>192066800</v>
      </c>
      <c r="K66" s="3" t="s">
        <v>444</v>
      </c>
      <c r="L66" t="s">
        <v>288</v>
      </c>
    </row>
    <row r="67" spans="1:13">
      <c r="A67" s="1" t="s">
        <v>445</v>
      </c>
      <c r="B67" s="2" t="str">
        <f>HYPERLINK("https://docket.philalegal.org/cgi-bin/proxy.pl?ct=101201105","101201105")</f>
        <v>101201105</v>
      </c>
      <c r="C67" s="3" t="s">
        <v>446</v>
      </c>
      <c r="D67" s="3" t="s">
        <v>189</v>
      </c>
      <c r="E67" s="3" t="s">
        <v>447</v>
      </c>
      <c r="F67" s="3" t="s">
        <v>448</v>
      </c>
      <c r="G67" s="3" t="s">
        <v>449</v>
      </c>
      <c r="H67" s="3" t="s">
        <v>450</v>
      </c>
      <c r="I67" s="3" t="s">
        <v>451</v>
      </c>
      <c r="J67" s="3">
        <v>321102500</v>
      </c>
      <c r="K67" s="3" t="s">
        <v>452</v>
      </c>
      <c r="L67" t="s">
        <v>203</v>
      </c>
    </row>
    <row r="68" spans="1:13">
      <c r="A68" s="1" t="s">
        <v>453</v>
      </c>
      <c r="B68" s="2" t="str">
        <f>HYPERLINK("https://docket.philalegal.org/cgi-bin/proxy.pl?ct=160701399","160701399")</f>
        <v>160701399</v>
      </c>
      <c r="C68" s="3" t="s">
        <v>454</v>
      </c>
      <c r="D68" s="3" t="s">
        <v>15</v>
      </c>
      <c r="E68" s="3" t="s">
        <v>455</v>
      </c>
      <c r="F68" s="3" t="s">
        <v>456</v>
      </c>
      <c r="G68" s="3" t="s">
        <v>457</v>
      </c>
      <c r="H68" s="3"/>
      <c r="I68" s="3" t="s">
        <v>458</v>
      </c>
      <c r="J68" s="3">
        <v>292168200</v>
      </c>
      <c r="K68" s="3" t="s">
        <v>459</v>
      </c>
      <c r="L68" t="s">
        <v>209</v>
      </c>
      <c r="M68" t="s">
        <v>460</v>
      </c>
    </row>
    <row r="69" spans="1:13">
      <c r="A69" s="1" t="s">
        <v>461</v>
      </c>
      <c r="B69" s="2" t="str">
        <f>HYPERLINK("https://docket.philalegal.org/cgi-bin/proxy.pl?ct=220802105","220802105")</f>
        <v>220802105</v>
      </c>
      <c r="C69" s="3" t="s">
        <v>462</v>
      </c>
      <c r="D69" s="3" t="s">
        <v>49</v>
      </c>
      <c r="E69" s="3" t="s">
        <v>455</v>
      </c>
      <c r="F69" s="3" t="s">
        <v>463</v>
      </c>
      <c r="G69" s="3" t="s">
        <v>464</v>
      </c>
      <c r="H69" s="3"/>
      <c r="I69" s="3" t="s">
        <v>465</v>
      </c>
      <c r="J69" s="3">
        <v>292255200</v>
      </c>
      <c r="K69" s="3" t="s">
        <v>466</v>
      </c>
      <c r="L69" t="s">
        <v>46</v>
      </c>
    </row>
    <row r="70" spans="1:13">
      <c r="A70" s="1" t="s">
        <v>467</v>
      </c>
      <c r="B70" s="2" t="str">
        <f>HYPERLINK("https://docket.philalegal.org/cgi-bin/proxy.pl?ct=200700846","200700846")</f>
        <v>200700846</v>
      </c>
      <c r="C70" s="3" t="s">
        <v>468</v>
      </c>
      <c r="D70" s="3" t="s">
        <v>26</v>
      </c>
      <c r="E70" s="3" t="s">
        <v>469</v>
      </c>
      <c r="F70" s="3" t="s">
        <v>470</v>
      </c>
      <c r="G70" s="3" t="s">
        <v>471</v>
      </c>
      <c r="H70" s="3" t="s">
        <v>472</v>
      </c>
      <c r="I70" s="3" t="s">
        <v>473</v>
      </c>
      <c r="J70" s="3">
        <v>292090000</v>
      </c>
      <c r="K70" s="3" t="s">
        <v>474</v>
      </c>
      <c r="L70" t="s">
        <v>22</v>
      </c>
    </row>
    <row r="71" spans="1:13">
      <c r="A71" s="1" t="s">
        <v>475</v>
      </c>
      <c r="B71" s="2" t="str">
        <f>HYPERLINK("https://docket.philalegal.org/cgi-bin/proxy.pl?ct=201002146","201002146")</f>
        <v>201002146</v>
      </c>
      <c r="C71" s="3" t="s">
        <v>476</v>
      </c>
      <c r="D71" s="3" t="s">
        <v>49</v>
      </c>
      <c r="E71" s="3" t="s">
        <v>477</v>
      </c>
      <c r="F71" s="3" t="s">
        <v>17</v>
      </c>
      <c r="G71" s="3" t="s">
        <v>478</v>
      </c>
      <c r="H71" s="3"/>
      <c r="I71" s="3" t="s">
        <v>479</v>
      </c>
      <c r="J71" s="3">
        <v>881442710</v>
      </c>
      <c r="K71" s="3" t="s">
        <v>480</v>
      </c>
      <c r="L71" t="s">
        <v>481</v>
      </c>
    </row>
    <row r="72" spans="1:13">
      <c r="A72" s="1" t="s">
        <v>482</v>
      </c>
      <c r="B72" s="2" t="str">
        <f>HYPERLINK("https://docket.philalegal.org/cgi-bin/proxy.pl?ct=151000565","151000565")</f>
        <v>151000565</v>
      </c>
      <c r="C72" s="3" t="s">
        <v>483</v>
      </c>
      <c r="D72" s="3" t="s">
        <v>96</v>
      </c>
      <c r="E72" s="3" t="s">
        <v>484</v>
      </c>
      <c r="F72" s="3" t="s">
        <v>17</v>
      </c>
      <c r="G72" s="3" t="s">
        <v>485</v>
      </c>
      <c r="H72" s="3" t="s">
        <v>486</v>
      </c>
      <c r="I72" s="3" t="s">
        <v>487</v>
      </c>
      <c r="J72" s="3">
        <v>471013000</v>
      </c>
      <c r="K72" s="3" t="s">
        <v>488</v>
      </c>
      <c r="L72" t="s">
        <v>489</v>
      </c>
    </row>
    <row r="73" spans="1:13">
      <c r="A73" s="1" t="s">
        <v>490</v>
      </c>
      <c r="B73" s="2" t="str">
        <f>HYPERLINK("https://docket.philalegal.org/cgi-bin/proxy.pl?ct=151000557","151000557")</f>
        <v>151000557</v>
      </c>
      <c r="C73" s="3" t="s">
        <v>483</v>
      </c>
      <c r="D73" s="3" t="s">
        <v>26</v>
      </c>
      <c r="E73" s="3" t="s">
        <v>484</v>
      </c>
      <c r="F73" s="3" t="s">
        <v>17</v>
      </c>
      <c r="G73" s="3" t="s">
        <v>491</v>
      </c>
      <c r="H73" s="3" t="s">
        <v>492</v>
      </c>
      <c r="I73" s="3" t="s">
        <v>493</v>
      </c>
      <c r="J73" s="3">
        <v>471012900</v>
      </c>
      <c r="K73" s="3" t="s">
        <v>494</v>
      </c>
      <c r="L73" t="s">
        <v>22</v>
      </c>
    </row>
    <row r="74" spans="1:13">
      <c r="A74" s="1" t="s">
        <v>495</v>
      </c>
      <c r="B74" s="2" t="str">
        <f>HYPERLINK("https://docket.philalegal.org/cgi-bin/proxy.pl?ct=160201599","160201599")</f>
        <v>160201599</v>
      </c>
      <c r="C74" s="3" t="s">
        <v>496</v>
      </c>
      <c r="D74" s="3" t="s">
        <v>96</v>
      </c>
      <c r="E74" s="3" t="s">
        <v>497</v>
      </c>
      <c r="F74" s="3" t="s">
        <v>105</v>
      </c>
      <c r="G74" s="3" t="s">
        <v>498</v>
      </c>
      <c r="H74" s="3" t="s">
        <v>158</v>
      </c>
      <c r="I74" s="3" t="s">
        <v>499</v>
      </c>
      <c r="J74" s="3">
        <v>871167750</v>
      </c>
      <c r="K74" s="3" t="s">
        <v>500</v>
      </c>
      <c r="L74" t="s">
        <v>195</v>
      </c>
    </row>
    <row r="75" spans="1:13">
      <c r="A75" s="1" t="s">
        <v>501</v>
      </c>
      <c r="B75" s="2" t="str">
        <f>HYPERLINK("https://docket.philalegal.org/cgi-bin/proxy.pl?ct=160201465","160201465")</f>
        <v>160201465</v>
      </c>
      <c r="C75" s="3" t="s">
        <v>502</v>
      </c>
      <c r="D75" s="3" t="s">
        <v>96</v>
      </c>
      <c r="E75" s="3" t="s">
        <v>497</v>
      </c>
      <c r="F75" s="3" t="s">
        <v>105</v>
      </c>
      <c r="G75" s="3" t="s">
        <v>503</v>
      </c>
      <c r="H75" s="3"/>
      <c r="I75" s="3" t="s">
        <v>504</v>
      </c>
      <c r="J75" s="3">
        <v>361311700</v>
      </c>
      <c r="K75" s="3" t="s">
        <v>505</v>
      </c>
      <c r="L75" t="s">
        <v>506</v>
      </c>
    </row>
    <row r="76" spans="1:13">
      <c r="A76" s="1" t="s">
        <v>507</v>
      </c>
      <c r="B76" s="2" t="str">
        <f>HYPERLINK("https://docket.philalegal.org/cgi-bin/proxy.pl?ct=170102787","170102787")</f>
        <v>170102787</v>
      </c>
      <c r="C76" s="3" t="s">
        <v>508</v>
      </c>
      <c r="D76" s="3" t="s">
        <v>26</v>
      </c>
      <c r="E76" s="3" t="s">
        <v>509</v>
      </c>
      <c r="F76" s="3" t="s">
        <v>510</v>
      </c>
      <c r="G76" s="3" t="s">
        <v>511</v>
      </c>
      <c r="H76" s="3"/>
      <c r="I76" s="3" t="s">
        <v>512</v>
      </c>
      <c r="J76" s="3">
        <v>361311700</v>
      </c>
      <c r="K76" s="3" t="s">
        <v>513</v>
      </c>
      <c r="L76" t="s">
        <v>22</v>
      </c>
    </row>
    <row r="77" spans="1:13">
      <c r="A77" s="1" t="s">
        <v>514</v>
      </c>
      <c r="B77" s="2" t="str">
        <f>HYPERLINK("https://docket.philalegal.org/cgi-bin/proxy.pl?ct=190900052","190900052")</f>
        <v>190900052</v>
      </c>
      <c r="C77" s="3" t="s">
        <v>515</v>
      </c>
      <c r="D77" s="3" t="s">
        <v>26</v>
      </c>
      <c r="E77" s="3" t="s">
        <v>516</v>
      </c>
      <c r="F77" s="3" t="s">
        <v>17</v>
      </c>
      <c r="G77" s="3" t="s">
        <v>517</v>
      </c>
      <c r="H77" s="3" t="s">
        <v>518</v>
      </c>
      <c r="I77" s="3" t="s">
        <v>519</v>
      </c>
      <c r="J77" s="3">
        <v>364227700</v>
      </c>
      <c r="K77" s="3" t="s">
        <v>520</v>
      </c>
      <c r="L77" t="s">
        <v>22</v>
      </c>
    </row>
    <row r="78" spans="1:13">
      <c r="A78" s="1" t="s">
        <v>521</v>
      </c>
      <c r="B78" s="2" t="str">
        <f>HYPERLINK("https://docket.philalegal.org/cgi-bin/proxy.pl?ct=190701624","190701624")</f>
        <v>190701624</v>
      </c>
      <c r="C78" s="3" t="s">
        <v>522</v>
      </c>
      <c r="D78" s="3" t="s">
        <v>96</v>
      </c>
      <c r="E78" s="3" t="s">
        <v>516</v>
      </c>
      <c r="F78" s="3" t="s">
        <v>17</v>
      </c>
      <c r="G78" s="3" t="s">
        <v>523</v>
      </c>
      <c r="H78" s="3" t="s">
        <v>524</v>
      </c>
      <c r="I78" s="3" t="s">
        <v>525</v>
      </c>
      <c r="J78" s="3">
        <v>273030100</v>
      </c>
      <c r="K78" s="3" t="s">
        <v>526</v>
      </c>
      <c r="L78" t="s">
        <v>195</v>
      </c>
    </row>
    <row r="79" spans="1:13">
      <c r="A79" s="1" t="s">
        <v>527</v>
      </c>
      <c r="B79" s="2" t="str">
        <f>HYPERLINK("https://docket.philalegal.org/cgi-bin/proxy.pl?ct=190701605","190701605")</f>
        <v>190701605</v>
      </c>
      <c r="C79" s="3" t="s">
        <v>528</v>
      </c>
      <c r="D79" s="3" t="s">
        <v>96</v>
      </c>
      <c r="E79" s="3" t="s">
        <v>516</v>
      </c>
      <c r="F79" s="3" t="s">
        <v>17</v>
      </c>
      <c r="G79" s="3" t="s">
        <v>529</v>
      </c>
      <c r="H79" s="3" t="s">
        <v>530</v>
      </c>
      <c r="I79" s="3" t="s">
        <v>531</v>
      </c>
      <c r="J79" s="3">
        <v>364002900</v>
      </c>
      <c r="K79" s="3" t="s">
        <v>532</v>
      </c>
      <c r="L79" t="s">
        <v>203</v>
      </c>
    </row>
    <row r="80" spans="1:13">
      <c r="A80" s="1" t="s">
        <v>533</v>
      </c>
      <c r="B80" s="2" t="str">
        <f>HYPERLINK("https://docket.philalegal.org/cgi-bin/proxy.pl?ct=190902161","190902161")</f>
        <v>190902161</v>
      </c>
      <c r="C80" s="3" t="s">
        <v>534</v>
      </c>
      <c r="D80" s="3" t="s">
        <v>96</v>
      </c>
      <c r="E80" s="3" t="s">
        <v>516</v>
      </c>
      <c r="F80" s="3" t="s">
        <v>17</v>
      </c>
      <c r="G80" s="3" t="s">
        <v>535</v>
      </c>
      <c r="H80" s="3" t="s">
        <v>536</v>
      </c>
      <c r="I80" s="3" t="s">
        <v>537</v>
      </c>
      <c r="J80" s="3">
        <v>871401535</v>
      </c>
      <c r="K80" s="3" t="s">
        <v>538</v>
      </c>
      <c r="L80" t="s">
        <v>539</v>
      </c>
    </row>
    <row r="81" spans="1:12">
      <c r="A81" s="1" t="s">
        <v>540</v>
      </c>
      <c r="B81" s="2" t="str">
        <f>HYPERLINK("https://docket.philalegal.org/cgi-bin/proxy.pl?ct=180501229","180501229")</f>
        <v>180501229</v>
      </c>
      <c r="C81" s="3" t="s">
        <v>541</v>
      </c>
      <c r="D81" s="3" t="s">
        <v>26</v>
      </c>
      <c r="E81" s="3" t="s">
        <v>516</v>
      </c>
      <c r="F81" s="3" t="s">
        <v>105</v>
      </c>
      <c r="G81" s="3" t="s">
        <v>542</v>
      </c>
      <c r="H81" s="3"/>
      <c r="I81" s="3" t="s">
        <v>543</v>
      </c>
      <c r="J81" s="3">
        <v>481041200</v>
      </c>
      <c r="K81" s="3" t="s">
        <v>544</v>
      </c>
      <c r="L81" t="s">
        <v>22</v>
      </c>
    </row>
    <row r="82" spans="1:12">
      <c r="A82" s="1" t="s">
        <v>545</v>
      </c>
      <c r="B82" s="2" t="str">
        <f>HYPERLINK("https://docket.philalegal.org/cgi-bin/proxy.pl?ct=180801385","180801385")</f>
        <v>180801385</v>
      </c>
      <c r="C82" s="3" t="s">
        <v>546</v>
      </c>
      <c r="D82" s="3" t="s">
        <v>96</v>
      </c>
      <c r="E82" s="3" t="s">
        <v>516</v>
      </c>
      <c r="F82" s="3" t="s">
        <v>105</v>
      </c>
      <c r="G82" s="3" t="s">
        <v>547</v>
      </c>
      <c r="H82" s="3" t="s">
        <v>548</v>
      </c>
      <c r="I82" s="3" t="s">
        <v>549</v>
      </c>
      <c r="J82" s="3">
        <v>362046200</v>
      </c>
      <c r="K82" s="3" t="s">
        <v>550</v>
      </c>
      <c r="L82" t="s">
        <v>195</v>
      </c>
    </row>
    <row r="83" spans="1:12">
      <c r="A83" s="1" t="s">
        <v>551</v>
      </c>
      <c r="B83" s="2" t="str">
        <f>HYPERLINK("https://docket.philalegal.org/cgi-bin/proxy.pl?ct=201001449","201001449")</f>
        <v>201001449</v>
      </c>
      <c r="C83" s="3" t="s">
        <v>552</v>
      </c>
      <c r="D83" s="3" t="s">
        <v>15</v>
      </c>
      <c r="E83" s="3" t="s">
        <v>516</v>
      </c>
      <c r="F83" s="3" t="s">
        <v>17</v>
      </c>
      <c r="G83" s="3" t="s">
        <v>553</v>
      </c>
      <c r="H83" s="3"/>
      <c r="I83" s="3" t="s">
        <v>554</v>
      </c>
      <c r="J83" s="3">
        <v>481011300</v>
      </c>
      <c r="K83" s="3" t="s">
        <v>555</v>
      </c>
      <c r="L83" t="s">
        <v>437</v>
      </c>
    </row>
    <row r="84" spans="1:12">
      <c r="A84" s="1" t="s">
        <v>556</v>
      </c>
      <c r="B84" s="2" t="str">
        <f>HYPERLINK("https://docket.philalegal.org/cgi-bin/proxy.pl?ct=180104968","180104968")</f>
        <v>180104968</v>
      </c>
      <c r="C84" s="3" t="s">
        <v>557</v>
      </c>
      <c r="D84" s="3" t="s">
        <v>96</v>
      </c>
      <c r="E84" s="3" t="s">
        <v>516</v>
      </c>
      <c r="F84" s="3" t="s">
        <v>166</v>
      </c>
      <c r="G84" s="3" t="s">
        <v>558</v>
      </c>
      <c r="H84" s="3" t="s">
        <v>559</v>
      </c>
      <c r="I84" s="3" t="s">
        <v>560</v>
      </c>
      <c r="J84" s="3">
        <v>601030800</v>
      </c>
      <c r="K84" s="3" t="s">
        <v>561</v>
      </c>
      <c r="L84" t="s">
        <v>203</v>
      </c>
    </row>
    <row r="85" spans="1:12">
      <c r="A85" s="1" t="s">
        <v>562</v>
      </c>
      <c r="B85" s="2" t="str">
        <f>HYPERLINK("https://docket.philalegal.org/cgi-bin/proxy.pl?ct=180703768","180703768")</f>
        <v>180703768</v>
      </c>
      <c r="C85" s="3" t="s">
        <v>563</v>
      </c>
      <c r="D85" s="3" t="s">
        <v>26</v>
      </c>
      <c r="E85" s="3" t="s">
        <v>516</v>
      </c>
      <c r="F85" s="3" t="s">
        <v>105</v>
      </c>
      <c r="G85" s="3" t="s">
        <v>564</v>
      </c>
      <c r="H85" s="3"/>
      <c r="I85" s="3" t="s">
        <v>565</v>
      </c>
      <c r="J85" s="3">
        <v>511196105</v>
      </c>
      <c r="K85" s="3" t="s">
        <v>566</v>
      </c>
      <c r="L85" t="s">
        <v>22</v>
      </c>
    </row>
    <row r="86" spans="1:12">
      <c r="A86" s="1" t="s">
        <v>567</v>
      </c>
      <c r="B86" s="2" t="str">
        <f>HYPERLINK("https://docket.philalegal.org/cgi-bin/proxy.pl?ct=180702477","180702477")</f>
        <v>180702477</v>
      </c>
      <c r="C86" s="3" t="s">
        <v>568</v>
      </c>
      <c r="D86" s="3" t="s">
        <v>26</v>
      </c>
      <c r="E86" s="3" t="s">
        <v>516</v>
      </c>
      <c r="F86" s="3" t="s">
        <v>166</v>
      </c>
      <c r="G86" s="3" t="s">
        <v>569</v>
      </c>
      <c r="H86" s="3" t="s">
        <v>570</v>
      </c>
      <c r="I86" s="3" t="s">
        <v>571</v>
      </c>
      <c r="J86" s="3">
        <v>272016500</v>
      </c>
      <c r="K86" s="3" t="s">
        <v>544</v>
      </c>
      <c r="L86" t="s">
        <v>22</v>
      </c>
    </row>
    <row r="87" spans="1:12">
      <c r="A87" s="1" t="s">
        <v>572</v>
      </c>
      <c r="B87" s="2" t="str">
        <f>HYPERLINK("https://docket.philalegal.org/cgi-bin/proxy.pl?ct=180402414","180402414")</f>
        <v>180402414</v>
      </c>
      <c r="C87" s="3" t="s">
        <v>573</v>
      </c>
      <c r="D87" s="3" t="s">
        <v>15</v>
      </c>
      <c r="E87" s="3" t="s">
        <v>516</v>
      </c>
      <c r="F87" s="3" t="s">
        <v>105</v>
      </c>
      <c r="G87" s="3" t="s">
        <v>574</v>
      </c>
      <c r="H87" s="3"/>
      <c r="I87" s="3" t="s">
        <v>525</v>
      </c>
      <c r="J87" s="3">
        <v>273030100</v>
      </c>
      <c r="K87" s="3" t="s">
        <v>575</v>
      </c>
      <c r="L87" t="s">
        <v>22</v>
      </c>
    </row>
    <row r="88" spans="1:12">
      <c r="A88" s="1" t="s">
        <v>576</v>
      </c>
      <c r="B88" s="2" t="str">
        <f>HYPERLINK("https://docket.philalegal.org/cgi-bin/proxy.pl?ct=200201727","200201727")</f>
        <v>200201727</v>
      </c>
      <c r="C88" s="3" t="s">
        <v>577</v>
      </c>
      <c r="D88" s="3" t="s">
        <v>15</v>
      </c>
      <c r="E88" s="3" t="s">
        <v>516</v>
      </c>
      <c r="F88" s="3" t="s">
        <v>17</v>
      </c>
      <c r="G88" s="3" t="s">
        <v>578</v>
      </c>
      <c r="H88" s="3" t="s">
        <v>579</v>
      </c>
      <c r="I88" s="3" t="s">
        <v>580</v>
      </c>
      <c r="J88" s="3">
        <v>481008600</v>
      </c>
      <c r="K88" s="3" t="s">
        <v>581</v>
      </c>
      <c r="L88" t="s">
        <v>437</v>
      </c>
    </row>
    <row r="89" spans="1:12">
      <c r="A89" s="1" t="s">
        <v>582</v>
      </c>
      <c r="B89" s="2" t="str">
        <f>HYPERLINK("https://docket.philalegal.org/cgi-bin/proxy.pl?ct=180603556","180603556")</f>
        <v>180603556</v>
      </c>
      <c r="C89" s="3" t="s">
        <v>583</v>
      </c>
      <c r="D89" s="3" t="s">
        <v>96</v>
      </c>
      <c r="E89" s="3" t="s">
        <v>516</v>
      </c>
      <c r="F89" s="3" t="s">
        <v>105</v>
      </c>
      <c r="G89" s="3" t="s">
        <v>584</v>
      </c>
      <c r="H89" s="3" t="s">
        <v>585</v>
      </c>
      <c r="I89" s="3" t="s">
        <v>586</v>
      </c>
      <c r="J89" s="3">
        <v>881713605</v>
      </c>
      <c r="K89" s="3" t="s">
        <v>587</v>
      </c>
      <c r="L89" t="s">
        <v>195</v>
      </c>
    </row>
    <row r="90" spans="1:12">
      <c r="A90" s="1" t="s">
        <v>588</v>
      </c>
      <c r="B90" s="2" t="str">
        <f>HYPERLINK("https://docket.philalegal.org/cgi-bin/proxy.pl?ct=201001450","201001450")</f>
        <v>201001450</v>
      </c>
      <c r="C90" s="3" t="s">
        <v>589</v>
      </c>
      <c r="D90" s="3" t="s">
        <v>15</v>
      </c>
      <c r="E90" s="3" t="s">
        <v>516</v>
      </c>
      <c r="F90" s="3" t="s">
        <v>17</v>
      </c>
      <c r="G90" s="3" t="s">
        <v>590</v>
      </c>
      <c r="H90" s="3" t="s">
        <v>591</v>
      </c>
      <c r="I90" s="3" t="s">
        <v>592</v>
      </c>
      <c r="J90" s="3">
        <v>301328900</v>
      </c>
      <c r="K90" s="3" t="s">
        <v>593</v>
      </c>
      <c r="L90" t="s">
        <v>437</v>
      </c>
    </row>
    <row r="91" spans="1:12">
      <c r="A91" s="1" t="s">
        <v>594</v>
      </c>
      <c r="B91" s="2" t="str">
        <f>HYPERLINK("https://docket.philalegal.org/cgi-bin/proxy.pl?ct=180601788","180601788")</f>
        <v>180601788</v>
      </c>
      <c r="C91" s="3" t="s">
        <v>595</v>
      </c>
      <c r="D91" s="3" t="s">
        <v>96</v>
      </c>
      <c r="E91" s="3" t="s">
        <v>516</v>
      </c>
      <c r="F91" s="3" t="s">
        <v>105</v>
      </c>
      <c r="G91" s="3" t="s">
        <v>596</v>
      </c>
      <c r="H91" s="3" t="s">
        <v>450</v>
      </c>
      <c r="I91" s="3" t="s">
        <v>597</v>
      </c>
      <c r="J91" s="3">
        <v>291117000</v>
      </c>
      <c r="K91" s="3" t="s">
        <v>598</v>
      </c>
      <c r="L91" t="s">
        <v>203</v>
      </c>
    </row>
    <row r="92" spans="1:12">
      <c r="A92" s="1" t="s">
        <v>599</v>
      </c>
      <c r="B92" s="2" t="str">
        <f>HYPERLINK("https://docket.philalegal.org/cgi-bin/proxy.pl?ct=171102364","171102364")</f>
        <v>171102364</v>
      </c>
      <c r="C92" s="3" t="s">
        <v>600</v>
      </c>
      <c r="D92" s="3" t="s">
        <v>96</v>
      </c>
      <c r="E92" s="3" t="s">
        <v>516</v>
      </c>
      <c r="F92" s="3" t="s">
        <v>601</v>
      </c>
      <c r="G92" s="3" t="s">
        <v>602</v>
      </c>
      <c r="H92" s="3" t="s">
        <v>144</v>
      </c>
      <c r="I92" s="3" t="s">
        <v>603</v>
      </c>
      <c r="J92" s="3">
        <v>292068300</v>
      </c>
      <c r="K92" s="3" t="s">
        <v>604</v>
      </c>
      <c r="L92" t="s">
        <v>605</v>
      </c>
    </row>
    <row r="93" spans="1:12">
      <c r="A93" s="1" t="s">
        <v>606</v>
      </c>
      <c r="B93" s="2" t="str">
        <f>HYPERLINK("https://docket.philalegal.org/cgi-bin/proxy.pl?ct=180403972","180403972")</f>
        <v>180403972</v>
      </c>
      <c r="C93" s="3" t="s">
        <v>607</v>
      </c>
      <c r="D93" s="3" t="s">
        <v>15</v>
      </c>
      <c r="E93" s="3" t="s">
        <v>516</v>
      </c>
      <c r="F93" s="3" t="s">
        <v>608</v>
      </c>
      <c r="G93" s="3" t="s">
        <v>609</v>
      </c>
      <c r="H93" s="3" t="s">
        <v>610</v>
      </c>
      <c r="I93" s="3" t="s">
        <v>611</v>
      </c>
      <c r="J93" s="3">
        <v>871212650</v>
      </c>
      <c r="K93" s="3" t="s">
        <v>612</v>
      </c>
      <c r="L93" t="s">
        <v>22</v>
      </c>
    </row>
    <row r="94" spans="1:12">
      <c r="A94" s="1" t="s">
        <v>613</v>
      </c>
      <c r="B94" s="2" t="str">
        <f>HYPERLINK("https://docket.philalegal.org/cgi-bin/proxy.pl?ct=180703171","180703171")</f>
        <v>180703171</v>
      </c>
      <c r="C94" s="3" t="s">
        <v>614</v>
      </c>
      <c r="D94" s="3" t="s">
        <v>26</v>
      </c>
      <c r="E94" s="3" t="s">
        <v>516</v>
      </c>
      <c r="F94" s="3" t="s">
        <v>105</v>
      </c>
      <c r="G94" s="3" t="s">
        <v>615</v>
      </c>
      <c r="H94" s="3"/>
      <c r="I94" s="3" t="s">
        <v>616</v>
      </c>
      <c r="J94" s="3">
        <v>481004100</v>
      </c>
      <c r="K94" s="3" t="s">
        <v>617</v>
      </c>
      <c r="L94" t="s">
        <v>22</v>
      </c>
    </row>
    <row r="95" spans="1:12">
      <c r="A95" s="1" t="s">
        <v>618</v>
      </c>
      <c r="B95" s="2" t="str">
        <f>HYPERLINK("https://docket.philalegal.org/cgi-bin/proxy.pl?ct=180703276","180703276")</f>
        <v>180703276</v>
      </c>
      <c r="C95" s="3" t="s">
        <v>619</v>
      </c>
      <c r="D95" s="3" t="s">
        <v>96</v>
      </c>
      <c r="E95" s="3" t="s">
        <v>516</v>
      </c>
      <c r="F95" s="3" t="s">
        <v>166</v>
      </c>
      <c r="G95" s="3" t="s">
        <v>620</v>
      </c>
      <c r="H95" s="3"/>
      <c r="I95" s="3" t="s">
        <v>621</v>
      </c>
      <c r="J95" s="3">
        <v>361167700</v>
      </c>
      <c r="K95" s="3" t="s">
        <v>622</v>
      </c>
      <c r="L95" t="s">
        <v>203</v>
      </c>
    </row>
    <row r="96" spans="1:12">
      <c r="A96" s="1" t="s">
        <v>623</v>
      </c>
      <c r="B96" s="2" t="str">
        <f>HYPERLINK("https://docket.philalegal.org/cgi-bin/proxy.pl?ct=180503236","180503236")</f>
        <v>180503236</v>
      </c>
      <c r="C96" s="3" t="s">
        <v>624</v>
      </c>
      <c r="D96" s="3" t="s">
        <v>96</v>
      </c>
      <c r="E96" s="3" t="s">
        <v>516</v>
      </c>
      <c r="F96" s="3" t="s">
        <v>166</v>
      </c>
      <c r="G96" s="3" t="s">
        <v>625</v>
      </c>
      <c r="H96" s="3"/>
      <c r="I96" s="3" t="s">
        <v>626</v>
      </c>
      <c r="J96" s="3" t="s">
        <v>627</v>
      </c>
      <c r="K96" s="3" t="s">
        <v>628</v>
      </c>
      <c r="L96" t="s">
        <v>629</v>
      </c>
    </row>
    <row r="97" spans="1:12">
      <c r="A97" s="1" t="s">
        <v>630</v>
      </c>
      <c r="B97" s="2" t="str">
        <f>HYPERLINK("https://docket.philalegal.org/cgi-bin/proxy.pl?ct=171101374","171101374")</f>
        <v>171101374</v>
      </c>
      <c r="C97" s="3" t="s">
        <v>631</v>
      </c>
      <c r="D97" s="3" t="s">
        <v>26</v>
      </c>
      <c r="E97" s="3" t="s">
        <v>516</v>
      </c>
      <c r="F97" s="3" t="s">
        <v>105</v>
      </c>
      <c r="G97" s="3" t="s">
        <v>632</v>
      </c>
      <c r="H97" s="3" t="s">
        <v>633</v>
      </c>
      <c r="I97" s="3" t="s">
        <v>634</v>
      </c>
      <c r="J97" s="3">
        <v>363038800</v>
      </c>
      <c r="K97" s="3" t="s">
        <v>635</v>
      </c>
      <c r="L97" t="s">
        <v>22</v>
      </c>
    </row>
    <row r="98" spans="1:12">
      <c r="A98" s="1" t="s">
        <v>636</v>
      </c>
      <c r="B98" s="2" t="str">
        <f>HYPERLINK("https://docket.philalegal.org/cgi-bin/proxy.pl?ct=180101114","180101114")</f>
        <v>180101114</v>
      </c>
      <c r="C98" s="3" t="s">
        <v>637</v>
      </c>
      <c r="D98" s="3" t="s">
        <v>26</v>
      </c>
      <c r="E98" s="3" t="s">
        <v>516</v>
      </c>
      <c r="F98" s="3" t="s">
        <v>105</v>
      </c>
      <c r="G98" s="3" t="s">
        <v>638</v>
      </c>
      <c r="H98" s="3"/>
      <c r="I98" s="3" t="s">
        <v>639</v>
      </c>
      <c r="J98" s="3">
        <v>362235100</v>
      </c>
      <c r="K98" s="3" t="s">
        <v>640</v>
      </c>
      <c r="L98" t="s">
        <v>22</v>
      </c>
    </row>
    <row r="99" spans="1:12">
      <c r="A99" s="1" t="s">
        <v>641</v>
      </c>
      <c r="B99" s="2" t="str">
        <f>HYPERLINK("https://docket.philalegal.org/cgi-bin/proxy.pl?ct=180600641","180600641")</f>
        <v>180600641</v>
      </c>
      <c r="C99" s="3" t="s">
        <v>637</v>
      </c>
      <c r="D99" s="3" t="s">
        <v>15</v>
      </c>
      <c r="E99" s="3" t="s">
        <v>516</v>
      </c>
      <c r="F99" s="3" t="s">
        <v>105</v>
      </c>
      <c r="G99" s="3" t="s">
        <v>642</v>
      </c>
      <c r="H99" s="3"/>
      <c r="I99" s="3" t="s">
        <v>531</v>
      </c>
      <c r="J99" s="3">
        <v>364002900</v>
      </c>
      <c r="K99" s="3" t="s">
        <v>643</v>
      </c>
      <c r="L99" t="s">
        <v>22</v>
      </c>
    </row>
    <row r="100" spans="1:12">
      <c r="A100" s="1" t="s">
        <v>644</v>
      </c>
      <c r="B100" s="2" t="str">
        <f>HYPERLINK("https://docket.philalegal.org/cgi-bin/proxy.pl?ct=180700015","180700015")</f>
        <v>180700015</v>
      </c>
      <c r="C100" s="3" t="s">
        <v>637</v>
      </c>
      <c r="D100" s="3" t="s">
        <v>96</v>
      </c>
      <c r="E100" s="3" t="s">
        <v>516</v>
      </c>
      <c r="F100" s="3" t="s">
        <v>645</v>
      </c>
      <c r="G100" s="3" t="s">
        <v>646</v>
      </c>
      <c r="H100" s="3"/>
      <c r="I100" s="3" t="s">
        <v>549</v>
      </c>
      <c r="J100" s="3">
        <v>362046200</v>
      </c>
      <c r="K100" s="3" t="s">
        <v>647</v>
      </c>
      <c r="L100" t="s">
        <v>203</v>
      </c>
    </row>
    <row r="101" spans="1:12">
      <c r="A101" s="1" t="s">
        <v>648</v>
      </c>
      <c r="B101" s="2" t="str">
        <f>HYPERLINK("https://docket.philalegal.org/cgi-bin/proxy.pl?ct=180700700","180700700")</f>
        <v>180700700</v>
      </c>
      <c r="C101" s="3" t="s">
        <v>649</v>
      </c>
      <c r="D101" s="3" t="s">
        <v>96</v>
      </c>
      <c r="E101" s="3" t="s">
        <v>516</v>
      </c>
      <c r="F101" s="3" t="s">
        <v>166</v>
      </c>
      <c r="G101" s="3" t="s">
        <v>650</v>
      </c>
      <c r="H101" s="3" t="s">
        <v>651</v>
      </c>
      <c r="I101" s="3" t="s">
        <v>652</v>
      </c>
      <c r="J101" s="3">
        <v>363103100</v>
      </c>
      <c r="K101" s="3" t="s">
        <v>653</v>
      </c>
      <c r="L101" t="s">
        <v>203</v>
      </c>
    </row>
    <row r="102" spans="1:12">
      <c r="A102" s="1" t="s">
        <v>654</v>
      </c>
      <c r="B102" s="2" t="str">
        <f>HYPERLINK("https://docket.philalegal.org/cgi-bin/proxy.pl?ct=200300041","200300041")</f>
        <v>200300041</v>
      </c>
      <c r="C102" s="3" t="s">
        <v>655</v>
      </c>
      <c r="D102" s="3" t="s">
        <v>656</v>
      </c>
      <c r="E102" s="3" t="s">
        <v>516</v>
      </c>
      <c r="F102" s="3" t="s">
        <v>17</v>
      </c>
      <c r="G102" s="3" t="s">
        <v>657</v>
      </c>
      <c r="H102" s="3"/>
      <c r="I102" s="3" t="s">
        <v>658</v>
      </c>
      <c r="J102" s="3">
        <v>363129400</v>
      </c>
      <c r="K102" s="3" t="s">
        <v>659</v>
      </c>
      <c r="L102" t="s">
        <v>437</v>
      </c>
    </row>
    <row r="103" spans="1:12">
      <c r="A103" s="1" t="s">
        <v>660</v>
      </c>
      <c r="B103" s="2" t="str">
        <f>HYPERLINK("https://docket.philalegal.org/cgi-bin/proxy.pl?ct=180600649","180600649")</f>
        <v>180600649</v>
      </c>
      <c r="C103" s="3" t="s">
        <v>661</v>
      </c>
      <c r="D103" s="3" t="s">
        <v>26</v>
      </c>
      <c r="E103" s="3" t="s">
        <v>516</v>
      </c>
      <c r="F103" s="3" t="s">
        <v>105</v>
      </c>
      <c r="G103" s="3" t="s">
        <v>662</v>
      </c>
      <c r="H103" s="3" t="s">
        <v>663</v>
      </c>
      <c r="I103" s="3" t="s">
        <v>664</v>
      </c>
      <c r="J103" s="3">
        <v>511111900</v>
      </c>
      <c r="K103" s="3" t="s">
        <v>665</v>
      </c>
      <c r="L103" t="s">
        <v>22</v>
      </c>
    </row>
    <row r="104" spans="1:12">
      <c r="A104" s="1" t="s">
        <v>666</v>
      </c>
      <c r="B104" s="2" t="str">
        <f>HYPERLINK("https://docket.philalegal.org/cgi-bin/proxy.pl?ct=170302613","170302613")</f>
        <v>170302613</v>
      </c>
      <c r="C104" s="3" t="s">
        <v>667</v>
      </c>
      <c r="D104" s="3" t="s">
        <v>26</v>
      </c>
      <c r="E104" s="3" t="s">
        <v>668</v>
      </c>
      <c r="F104" s="3" t="s">
        <v>105</v>
      </c>
      <c r="G104" s="3" t="s">
        <v>669</v>
      </c>
      <c r="H104" s="3" t="s">
        <v>670</v>
      </c>
      <c r="I104" s="3" t="s">
        <v>671</v>
      </c>
      <c r="J104" s="3">
        <v>364114700</v>
      </c>
      <c r="K104" s="3" t="s">
        <v>672</v>
      </c>
      <c r="L104" t="s">
        <v>22</v>
      </c>
    </row>
    <row r="105" spans="1:12">
      <c r="A105" s="1" t="s">
        <v>673</v>
      </c>
      <c r="B105" s="2" t="str">
        <f>HYPERLINK("https://docket.philalegal.org/cgi-bin/proxy.pl?ct=170302614","170302614")</f>
        <v>170302614</v>
      </c>
      <c r="C105" s="3" t="s">
        <v>674</v>
      </c>
      <c r="D105" s="3" t="s">
        <v>15</v>
      </c>
      <c r="E105" s="3" t="s">
        <v>668</v>
      </c>
      <c r="F105" s="3" t="s">
        <v>105</v>
      </c>
      <c r="G105" s="3" t="s">
        <v>675</v>
      </c>
      <c r="H105" s="3" t="s">
        <v>225</v>
      </c>
      <c r="I105" s="3" t="s">
        <v>676</v>
      </c>
      <c r="J105" s="3">
        <v>363294400</v>
      </c>
      <c r="K105" s="3" t="s">
        <v>677</v>
      </c>
      <c r="L105" t="s">
        <v>22</v>
      </c>
    </row>
    <row r="106" spans="1:12">
      <c r="A106" s="1" t="s">
        <v>678</v>
      </c>
      <c r="B106" s="2" t="str">
        <f>HYPERLINK("https://docket.philalegal.org/cgi-bin/proxy.pl?ct=171101280","171101280")</f>
        <v>171101280</v>
      </c>
      <c r="C106" s="3" t="s">
        <v>679</v>
      </c>
      <c r="D106" s="3" t="s">
        <v>180</v>
      </c>
      <c r="E106" s="3" t="s">
        <v>668</v>
      </c>
      <c r="F106" s="3" t="s">
        <v>105</v>
      </c>
      <c r="G106" s="3" t="s">
        <v>680</v>
      </c>
      <c r="H106" s="3"/>
      <c r="I106" s="3" t="s">
        <v>681</v>
      </c>
      <c r="J106" s="3">
        <v>364072100</v>
      </c>
      <c r="K106" s="3" t="s">
        <v>682</v>
      </c>
      <c r="L106" t="s">
        <v>22</v>
      </c>
    </row>
    <row r="107" spans="1:12">
      <c r="A107" s="1" t="s">
        <v>683</v>
      </c>
      <c r="B107" s="2" t="str">
        <f>HYPERLINK("https://docket.philalegal.org/cgi-bin/proxy.pl?ct=180101155","180101155")</f>
        <v>180101155</v>
      </c>
      <c r="C107" s="3" t="s">
        <v>684</v>
      </c>
      <c r="D107" s="3" t="s">
        <v>96</v>
      </c>
      <c r="E107" s="3" t="s">
        <v>685</v>
      </c>
      <c r="F107" s="3" t="s">
        <v>645</v>
      </c>
      <c r="G107" s="3" t="s">
        <v>686</v>
      </c>
      <c r="H107" s="3" t="s">
        <v>610</v>
      </c>
      <c r="I107" s="3" t="s">
        <v>687</v>
      </c>
      <c r="J107" s="3">
        <v>364097600</v>
      </c>
      <c r="K107" s="3" t="s">
        <v>688</v>
      </c>
      <c r="L107" t="s">
        <v>209</v>
      </c>
    </row>
    <row r="108" spans="1:12">
      <c r="A108" s="1" t="s">
        <v>689</v>
      </c>
      <c r="B108" s="2" t="str">
        <f>HYPERLINK("https://docket.philalegal.org/cgi-bin/proxy.pl?ct=170601920","170601920")</f>
        <v>170601920</v>
      </c>
      <c r="C108" s="3" t="s">
        <v>690</v>
      </c>
      <c r="D108" s="3" t="s">
        <v>96</v>
      </c>
      <c r="E108" s="3" t="s">
        <v>668</v>
      </c>
      <c r="F108" s="3" t="s">
        <v>166</v>
      </c>
      <c r="G108" s="3" t="s">
        <v>691</v>
      </c>
      <c r="H108" s="3" t="s">
        <v>692</v>
      </c>
      <c r="I108" s="3" t="s">
        <v>693</v>
      </c>
      <c r="J108" s="3">
        <v>363083500</v>
      </c>
      <c r="K108" s="3" t="s">
        <v>694</v>
      </c>
      <c r="L108" t="s">
        <v>288</v>
      </c>
    </row>
    <row r="109" spans="1:12">
      <c r="A109" s="1" t="s">
        <v>695</v>
      </c>
      <c r="B109" s="2" t="str">
        <f>HYPERLINK("https://docket.philalegal.org/cgi-bin/proxy.pl?ct=200900386","200900386")</f>
        <v>200900386</v>
      </c>
      <c r="C109" s="3" t="s">
        <v>696</v>
      </c>
      <c r="D109" s="3" t="s">
        <v>41</v>
      </c>
      <c r="E109" s="3" t="s">
        <v>697</v>
      </c>
      <c r="F109" s="3" t="s">
        <v>17</v>
      </c>
      <c r="G109" s="3" t="s">
        <v>698</v>
      </c>
      <c r="H109" s="3" t="s">
        <v>699</v>
      </c>
      <c r="I109" s="3" t="s">
        <v>700</v>
      </c>
      <c r="J109" s="3">
        <v>772135000</v>
      </c>
      <c r="K109" s="3" t="s">
        <v>701</v>
      </c>
      <c r="L109" t="s">
        <v>702</v>
      </c>
    </row>
    <row r="110" spans="1:12">
      <c r="A110" s="1" t="s">
        <v>703</v>
      </c>
      <c r="B110" s="2" t="str">
        <f>HYPERLINK("https://docket.philalegal.org/cgi-bin/proxy.pl?ct=210900828","210900828")</f>
        <v>210900828</v>
      </c>
      <c r="C110" s="3" t="s">
        <v>704</v>
      </c>
      <c r="D110" s="3" t="s">
        <v>705</v>
      </c>
      <c r="E110" s="3" t="s">
        <v>706</v>
      </c>
      <c r="F110" s="3" t="s">
        <v>17</v>
      </c>
      <c r="G110" s="3" t="s">
        <v>707</v>
      </c>
      <c r="H110" s="3" t="s">
        <v>708</v>
      </c>
      <c r="I110" s="3" t="s">
        <v>709</v>
      </c>
      <c r="J110" s="3">
        <v>364184700</v>
      </c>
      <c r="K110" s="3" t="s">
        <v>710</v>
      </c>
      <c r="L110" t="s">
        <v>711</v>
      </c>
    </row>
    <row r="111" spans="1:12">
      <c r="A111" s="1" t="s">
        <v>712</v>
      </c>
      <c r="B111" s="2" t="str">
        <f>HYPERLINK("https://docket.philalegal.org/cgi-bin/proxy.pl?ct=140302716","140302716")</f>
        <v>140302716</v>
      </c>
      <c r="C111" s="3" t="s">
        <v>713</v>
      </c>
      <c r="D111" s="3" t="s">
        <v>189</v>
      </c>
      <c r="E111" s="3" t="s">
        <v>714</v>
      </c>
      <c r="F111" s="3" t="s">
        <v>428</v>
      </c>
      <c r="G111" s="3" t="s">
        <v>715</v>
      </c>
      <c r="H111" s="3" t="s">
        <v>716</v>
      </c>
      <c r="I111" s="3" t="s">
        <v>717</v>
      </c>
      <c r="J111" s="3" t="s">
        <v>718</v>
      </c>
      <c r="K111" s="3" t="s">
        <v>719</v>
      </c>
      <c r="L111" t="s">
        <v>437</v>
      </c>
    </row>
    <row r="112" spans="1:12">
      <c r="A112" s="1" t="s">
        <v>720</v>
      </c>
      <c r="B112" s="2" t="str">
        <f>HYPERLINK("https://docket.philalegal.org/cgi-bin/proxy.pl?ct=140403566","140403566")</f>
        <v>140403566</v>
      </c>
      <c r="C112" s="3" t="s">
        <v>721</v>
      </c>
      <c r="D112" s="3" t="s">
        <v>96</v>
      </c>
      <c r="E112" s="3" t="s">
        <v>714</v>
      </c>
      <c r="F112" s="3" t="s">
        <v>428</v>
      </c>
      <c r="G112" s="3" t="s">
        <v>722</v>
      </c>
      <c r="H112" s="3" t="s">
        <v>234</v>
      </c>
      <c r="I112" s="3" t="s">
        <v>723</v>
      </c>
      <c r="J112" s="3" t="s">
        <v>724</v>
      </c>
      <c r="K112" s="3" t="s">
        <v>725</v>
      </c>
      <c r="L112" t="s">
        <v>437</v>
      </c>
    </row>
    <row r="113" spans="1:12">
      <c r="A113" s="1" t="s">
        <v>726</v>
      </c>
      <c r="B113" s="2" t="str">
        <f>HYPERLINK("https://docket.philalegal.org/cgi-bin/proxy.pl?ct=150301554","150301554")</f>
        <v>150301554</v>
      </c>
      <c r="C113" s="3" t="s">
        <v>727</v>
      </c>
      <c r="D113" s="3" t="s">
        <v>96</v>
      </c>
      <c r="E113" s="3" t="s">
        <v>714</v>
      </c>
      <c r="F113" s="3" t="s">
        <v>428</v>
      </c>
      <c r="G113" s="3" t="s">
        <v>728</v>
      </c>
      <c r="H113" s="3"/>
      <c r="I113" s="3" t="s">
        <v>729</v>
      </c>
      <c r="J113" s="3">
        <v>242203400</v>
      </c>
      <c r="K113" s="3" t="s">
        <v>730</v>
      </c>
      <c r="L113" t="s">
        <v>195</v>
      </c>
    </row>
    <row r="114" spans="1:12">
      <c r="A114" s="1" t="s">
        <v>731</v>
      </c>
      <c r="B114" s="2" t="str">
        <f>HYPERLINK("https://docket.philalegal.org/cgi-bin/proxy.pl?ct=150700628","150700628")</f>
        <v>150700628</v>
      </c>
      <c r="C114" s="3" t="s">
        <v>732</v>
      </c>
      <c r="D114" s="3" t="s">
        <v>96</v>
      </c>
      <c r="E114" s="3" t="s">
        <v>714</v>
      </c>
      <c r="F114" s="3" t="s">
        <v>428</v>
      </c>
      <c r="G114" s="3" t="s">
        <v>733</v>
      </c>
      <c r="H114" s="3" t="s">
        <v>734</v>
      </c>
      <c r="I114" s="3" t="s">
        <v>723</v>
      </c>
      <c r="J114" s="3" t="s">
        <v>724</v>
      </c>
      <c r="K114" s="3" t="s">
        <v>735</v>
      </c>
      <c r="L114" t="s">
        <v>736</v>
      </c>
    </row>
    <row r="115" spans="1:12">
      <c r="A115" s="1" t="s">
        <v>737</v>
      </c>
      <c r="B115" s="2" t="str">
        <f>HYPERLINK("https://docket.philalegal.org/cgi-bin/proxy.pl?ct=140400047","140400047")</f>
        <v>140400047</v>
      </c>
      <c r="C115" s="3" t="s">
        <v>738</v>
      </c>
      <c r="D115" s="3" t="s">
        <v>96</v>
      </c>
      <c r="E115" s="3" t="s">
        <v>739</v>
      </c>
      <c r="F115" s="3" t="s">
        <v>740</v>
      </c>
      <c r="G115" s="3" t="s">
        <v>741</v>
      </c>
      <c r="H115" s="3"/>
      <c r="I115" s="3" t="s">
        <v>742</v>
      </c>
      <c r="J115" s="3">
        <v>102437100</v>
      </c>
      <c r="K115" s="3" t="s">
        <v>743</v>
      </c>
      <c r="L115" t="s">
        <v>195</v>
      </c>
    </row>
    <row r="116" spans="1:12">
      <c r="A116" s="1" t="s">
        <v>744</v>
      </c>
      <c r="B116" s="2" t="str">
        <f>HYPERLINK("https://docket.philalegal.org/cgi-bin/proxy.pl?ct=140701287","140701287")</f>
        <v>140701287</v>
      </c>
      <c r="C116" s="3" t="s">
        <v>738</v>
      </c>
      <c r="D116" s="3" t="s">
        <v>96</v>
      </c>
      <c r="E116" s="3" t="s">
        <v>739</v>
      </c>
      <c r="F116" s="3" t="s">
        <v>740</v>
      </c>
      <c r="G116" s="3" t="s">
        <v>741</v>
      </c>
      <c r="H116" s="3"/>
      <c r="I116" s="3" t="s">
        <v>742</v>
      </c>
      <c r="J116" s="3">
        <v>102437100</v>
      </c>
      <c r="K116" s="3" t="s">
        <v>745</v>
      </c>
      <c r="L116" t="s">
        <v>195</v>
      </c>
    </row>
    <row r="117" spans="1:12">
      <c r="A117" s="1" t="s">
        <v>746</v>
      </c>
      <c r="B117" s="2" t="str">
        <f>HYPERLINK("https://docket.philalegal.org/cgi-bin/proxy.pl?ct=170402248","170402248")</f>
        <v>170402248</v>
      </c>
      <c r="C117" s="3" t="s">
        <v>747</v>
      </c>
      <c r="D117" s="3" t="s">
        <v>26</v>
      </c>
      <c r="E117" s="3" t="s">
        <v>748</v>
      </c>
      <c r="F117" s="3" t="s">
        <v>105</v>
      </c>
      <c r="G117" s="3" t="s">
        <v>749</v>
      </c>
      <c r="H117" s="3"/>
      <c r="I117" s="3" t="s">
        <v>750</v>
      </c>
      <c r="J117" s="3">
        <v>364092900</v>
      </c>
      <c r="K117" s="3" t="s">
        <v>751</v>
      </c>
      <c r="L117" t="s">
        <v>22</v>
      </c>
    </row>
    <row r="118" spans="1:12">
      <c r="A118" s="1" t="s">
        <v>752</v>
      </c>
      <c r="B118" s="2" t="str">
        <f>HYPERLINK("https://docket.philalegal.org/cgi-bin/proxy.pl?ct=170601165","170601165")</f>
        <v>170601165</v>
      </c>
      <c r="C118" s="3" t="s">
        <v>753</v>
      </c>
      <c r="D118" s="3" t="s">
        <v>96</v>
      </c>
      <c r="E118" s="3" t="s">
        <v>754</v>
      </c>
      <c r="F118" s="3" t="s">
        <v>755</v>
      </c>
      <c r="G118" s="3" t="s">
        <v>756</v>
      </c>
      <c r="H118" s="3"/>
      <c r="I118" s="3" t="s">
        <v>757</v>
      </c>
      <c r="J118" s="3">
        <v>262059500</v>
      </c>
      <c r="K118" s="3" t="s">
        <v>758</v>
      </c>
      <c r="L118" t="s">
        <v>162</v>
      </c>
    </row>
    <row r="119" spans="1:12">
      <c r="A119" s="1" t="s">
        <v>759</v>
      </c>
      <c r="B119" s="2" t="str">
        <f>HYPERLINK("https://docket.philalegal.org/cgi-bin/proxy.pl?ct=180302732","180302732")</f>
        <v>180302732</v>
      </c>
      <c r="C119" s="3" t="s">
        <v>760</v>
      </c>
      <c r="D119" s="3" t="s">
        <v>705</v>
      </c>
      <c r="E119" s="3" t="s">
        <v>761</v>
      </c>
      <c r="F119" s="3" t="s">
        <v>762</v>
      </c>
      <c r="G119" s="3" t="s">
        <v>763</v>
      </c>
      <c r="H119" s="3" t="s">
        <v>764</v>
      </c>
      <c r="I119" s="3" t="s">
        <v>765</v>
      </c>
      <c r="J119" s="3">
        <v>124073900</v>
      </c>
      <c r="K119" s="3" t="s">
        <v>766</v>
      </c>
      <c r="L119" t="s">
        <v>711</v>
      </c>
    </row>
    <row r="120" spans="1:12">
      <c r="A120" s="1" t="s">
        <v>767</v>
      </c>
      <c r="B120" s="2" t="str">
        <f>HYPERLINK("https://docket.philalegal.org/cgi-bin/proxy.pl?ct=160103522","160103522")</f>
        <v>160103522</v>
      </c>
      <c r="C120" s="3" t="s">
        <v>768</v>
      </c>
      <c r="D120" s="3" t="s">
        <v>96</v>
      </c>
      <c r="E120" s="3" t="s">
        <v>769</v>
      </c>
      <c r="F120" s="3"/>
      <c r="G120" s="3" t="s">
        <v>770</v>
      </c>
      <c r="H120" s="3"/>
      <c r="I120" s="3" t="s">
        <v>771</v>
      </c>
      <c r="J120" s="3" t="s">
        <v>772</v>
      </c>
      <c r="K120" s="3" t="s">
        <v>773</v>
      </c>
      <c r="L120" t="s">
        <v>195</v>
      </c>
    </row>
    <row r="121" spans="1:12">
      <c r="A121" s="1" t="s">
        <v>774</v>
      </c>
      <c r="B121" s="2" t="str">
        <f>HYPERLINK("https://docket.philalegal.org/cgi-bin/proxy.pl?ct=150301290","150301290")</f>
        <v>150301290</v>
      </c>
      <c r="C121" s="3" t="s">
        <v>775</v>
      </c>
      <c r="D121" s="3" t="s">
        <v>26</v>
      </c>
      <c r="E121" s="3" t="s">
        <v>776</v>
      </c>
      <c r="F121" s="3" t="s">
        <v>428</v>
      </c>
      <c r="G121" s="3" t="s">
        <v>777</v>
      </c>
      <c r="H121" s="3"/>
      <c r="I121" s="3" t="s">
        <v>778</v>
      </c>
      <c r="J121" s="3">
        <v>871524440</v>
      </c>
      <c r="K121" s="3" t="s">
        <v>779</v>
      </c>
      <c r="L121" t="s">
        <v>22</v>
      </c>
    </row>
    <row r="122" spans="1:12">
      <c r="A122" s="1" t="s">
        <v>780</v>
      </c>
      <c r="B122" s="2" t="str">
        <f>HYPERLINK("https://docket.philalegal.org/cgi-bin/proxy.pl?ct=220901407","220901407")</f>
        <v>220901407</v>
      </c>
      <c r="C122" s="3" t="s">
        <v>781</v>
      </c>
      <c r="D122" s="3" t="s">
        <v>49</v>
      </c>
      <c r="E122" s="3" t="s">
        <v>782</v>
      </c>
      <c r="F122" s="3" t="s">
        <v>783</v>
      </c>
      <c r="G122" s="3" t="s">
        <v>784</v>
      </c>
      <c r="H122" s="3"/>
      <c r="I122" s="3" t="s">
        <v>785</v>
      </c>
      <c r="J122" s="3">
        <v>592196100</v>
      </c>
      <c r="K122" s="3" t="s">
        <v>786</v>
      </c>
      <c r="L122" t="s">
        <v>22</v>
      </c>
    </row>
    <row r="123" spans="1:12">
      <c r="A123" s="1" t="s">
        <v>787</v>
      </c>
      <c r="B123" s="2" t="str">
        <f>HYPERLINK("https://docket.philalegal.org/cgi-bin/proxy.pl?ct=190400639","190400639")</f>
        <v>190400639</v>
      </c>
      <c r="C123" s="3" t="s">
        <v>788</v>
      </c>
      <c r="D123" s="3" t="s">
        <v>26</v>
      </c>
      <c r="E123" s="3" t="s">
        <v>789</v>
      </c>
      <c r="F123" s="3" t="s">
        <v>17</v>
      </c>
      <c r="G123" s="3" t="s">
        <v>790</v>
      </c>
      <c r="H123" s="3"/>
      <c r="I123" s="3" t="s">
        <v>791</v>
      </c>
      <c r="J123" s="3">
        <v>273149000</v>
      </c>
      <c r="K123" s="3" t="s">
        <v>792</v>
      </c>
      <c r="L123" t="s">
        <v>22</v>
      </c>
    </row>
    <row r="124" spans="1:12">
      <c r="A124" s="1" t="s">
        <v>793</v>
      </c>
      <c r="B124" s="2" t="str">
        <f>HYPERLINK("https://docket.philalegal.org/cgi-bin/proxy.pl?ct=220501395","220501395")</f>
        <v>220501395</v>
      </c>
      <c r="C124" s="3" t="s">
        <v>794</v>
      </c>
      <c r="D124" s="3" t="s">
        <v>49</v>
      </c>
      <c r="E124" s="3" t="s">
        <v>795</v>
      </c>
      <c r="F124" s="3" t="s">
        <v>89</v>
      </c>
      <c r="G124" s="3" t="s">
        <v>796</v>
      </c>
      <c r="H124" s="3"/>
      <c r="I124" s="3" t="s">
        <v>797</v>
      </c>
      <c r="J124" s="3">
        <v>871069250</v>
      </c>
      <c r="K124" s="3" t="s">
        <v>798</v>
      </c>
      <c r="L124" t="s">
        <v>46</v>
      </c>
    </row>
    <row r="125" spans="1:12">
      <c r="A125" s="1" t="s">
        <v>799</v>
      </c>
      <c r="B125" s="2" t="str">
        <f>HYPERLINK("https://docket.philalegal.org/cgi-bin/proxy.pl?ct=150301540","150301540")</f>
        <v>150301540</v>
      </c>
      <c r="C125" s="3" t="s">
        <v>800</v>
      </c>
      <c r="D125" s="3" t="s">
        <v>26</v>
      </c>
      <c r="E125" s="3" t="s">
        <v>801</v>
      </c>
      <c r="F125" s="3" t="s">
        <v>17</v>
      </c>
      <c r="G125" s="3" t="s">
        <v>802</v>
      </c>
      <c r="H125" s="3" t="s">
        <v>803</v>
      </c>
      <c r="I125" s="3" t="s">
        <v>804</v>
      </c>
      <c r="J125" s="3">
        <v>182166800</v>
      </c>
      <c r="K125" s="3" t="s">
        <v>805</v>
      </c>
      <c r="L125" t="s">
        <v>806</v>
      </c>
    </row>
    <row r="126" spans="1:12">
      <c r="A126" s="1" t="s">
        <v>807</v>
      </c>
      <c r="B126" s="2" t="str">
        <f>HYPERLINK("https://docket.philalegal.org/cgi-bin/proxy.pl?ct=160803254","160803254")</f>
        <v>160803254</v>
      </c>
      <c r="C126" s="3" t="s">
        <v>808</v>
      </c>
      <c r="D126" s="3" t="s">
        <v>15</v>
      </c>
      <c r="E126" s="3" t="s">
        <v>809</v>
      </c>
      <c r="F126" s="3" t="s">
        <v>810</v>
      </c>
      <c r="G126" s="3" t="s">
        <v>811</v>
      </c>
      <c r="H126" s="3"/>
      <c r="I126" s="3" t="s">
        <v>812</v>
      </c>
      <c r="J126" s="3">
        <v>471259000</v>
      </c>
      <c r="K126" s="3" t="s">
        <v>813</v>
      </c>
      <c r="L126" t="s">
        <v>209</v>
      </c>
    </row>
    <row r="127" spans="1:12">
      <c r="A127" s="1" t="s">
        <v>814</v>
      </c>
      <c r="B127" s="2" t="str">
        <f>HYPERLINK("https://docket.philalegal.org/cgi-bin/proxy.pl?ct=170602924","170602924")</f>
        <v>170602924</v>
      </c>
      <c r="C127" s="3" t="s">
        <v>815</v>
      </c>
      <c r="D127" s="3" t="s">
        <v>96</v>
      </c>
      <c r="E127" s="3" t="s">
        <v>809</v>
      </c>
      <c r="F127" s="3" t="s">
        <v>810</v>
      </c>
      <c r="G127" s="3" t="s">
        <v>816</v>
      </c>
      <c r="H127" s="3" t="s">
        <v>817</v>
      </c>
      <c r="I127" s="3" t="s">
        <v>812</v>
      </c>
      <c r="J127" s="3">
        <v>471259000</v>
      </c>
      <c r="K127" s="3" t="s">
        <v>818</v>
      </c>
      <c r="L127" t="s">
        <v>819</v>
      </c>
    </row>
    <row r="128" spans="1:12">
      <c r="A128" s="1" t="s">
        <v>820</v>
      </c>
      <c r="B128" s="2" t="str">
        <f>HYPERLINK("https://docket.philalegal.org/cgi-bin/proxy.pl?ct=161001493","161001493")</f>
        <v>161001493</v>
      </c>
      <c r="C128" s="3" t="s">
        <v>821</v>
      </c>
      <c r="D128" s="3" t="s">
        <v>96</v>
      </c>
      <c r="E128" s="3" t="s">
        <v>822</v>
      </c>
      <c r="F128" s="3" t="s">
        <v>105</v>
      </c>
      <c r="G128" s="3" t="s">
        <v>823</v>
      </c>
      <c r="H128" s="3"/>
      <c r="I128" s="3" t="s">
        <v>824</v>
      </c>
      <c r="J128" s="3">
        <v>301410100</v>
      </c>
      <c r="K128" s="3" t="s">
        <v>825</v>
      </c>
      <c r="L128" t="s">
        <v>437</v>
      </c>
    </row>
    <row r="129" spans="1:13">
      <c r="A129" s="1" t="s">
        <v>826</v>
      </c>
      <c r="B129" s="2" t="str">
        <f>HYPERLINK("https://docket.philalegal.org/cgi-bin/proxy.pl?ct=140203101","140203101")</f>
        <v>140203101</v>
      </c>
      <c r="C129" s="3" t="s">
        <v>827</v>
      </c>
      <c r="D129" s="3" t="s">
        <v>96</v>
      </c>
      <c r="E129" s="3" t="s">
        <v>828</v>
      </c>
      <c r="F129" s="3" t="s">
        <v>829</v>
      </c>
      <c r="G129" s="3" t="s">
        <v>830</v>
      </c>
      <c r="H129" s="3" t="s">
        <v>831</v>
      </c>
      <c r="I129" s="3" t="s">
        <v>832</v>
      </c>
      <c r="J129" s="3">
        <v>301096000</v>
      </c>
      <c r="K129" s="3" t="s">
        <v>833</v>
      </c>
      <c r="L129" t="s">
        <v>203</v>
      </c>
    </row>
    <row r="130" spans="1:13">
      <c r="A130" s="1" t="s">
        <v>834</v>
      </c>
      <c r="B130" s="2" t="str">
        <f>HYPERLINK("https://docket.philalegal.org/cgi-bin/proxy.pl?ct=190701257","190701257")</f>
        <v>190701257</v>
      </c>
      <c r="C130" s="3" t="s">
        <v>835</v>
      </c>
      <c r="D130" s="3" t="s">
        <v>26</v>
      </c>
      <c r="E130" s="3" t="s">
        <v>836</v>
      </c>
      <c r="F130" s="3" t="s">
        <v>383</v>
      </c>
      <c r="G130" s="3" t="s">
        <v>837</v>
      </c>
      <c r="H130" s="3" t="s">
        <v>838</v>
      </c>
      <c r="I130" s="3" t="s">
        <v>839</v>
      </c>
      <c r="J130" s="3">
        <v>412453000</v>
      </c>
      <c r="K130" s="3" t="s">
        <v>840</v>
      </c>
      <c r="L130" t="s">
        <v>22</v>
      </c>
    </row>
    <row r="131" spans="1:13">
      <c r="A131" s="1" t="s">
        <v>841</v>
      </c>
      <c r="B131" s="2" t="str">
        <f>HYPERLINK("https://docket.philalegal.org/cgi-bin/proxy.pl?ct=091003909","091003909")</f>
        <v>091003909</v>
      </c>
      <c r="C131" s="3" t="s">
        <v>842</v>
      </c>
      <c r="D131" s="3" t="s">
        <v>96</v>
      </c>
      <c r="E131" s="3"/>
      <c r="F131" s="3" t="s">
        <v>843</v>
      </c>
      <c r="G131" s="3"/>
      <c r="H131" s="3"/>
      <c r="I131" s="3"/>
      <c r="J131" s="3"/>
      <c r="K131" s="3" t="s">
        <v>844</v>
      </c>
      <c r="L131" t="s">
        <v>195</v>
      </c>
      <c r="M131" t="s">
        <v>845</v>
      </c>
    </row>
    <row r="132" spans="1:13">
      <c r="A132" s="1" t="s">
        <v>846</v>
      </c>
      <c r="B132" s="2" t="str">
        <f>HYPERLINK("https://docket.philalegal.org/cgi-bin/proxy.pl?ct=140602172","140602172")</f>
        <v>140602172</v>
      </c>
      <c r="C132" s="3" t="s">
        <v>847</v>
      </c>
      <c r="D132" s="3" t="s">
        <v>26</v>
      </c>
      <c r="E132" s="3" t="s">
        <v>848</v>
      </c>
      <c r="F132" s="3" t="s">
        <v>17</v>
      </c>
      <c r="G132" s="3" t="s">
        <v>849</v>
      </c>
      <c r="H132" s="3" t="s">
        <v>850</v>
      </c>
      <c r="I132" s="3" t="s">
        <v>851</v>
      </c>
      <c r="J132" s="3">
        <v>871520840</v>
      </c>
      <c r="K132" s="3" t="s">
        <v>852</v>
      </c>
      <c r="L132" t="s">
        <v>22</v>
      </c>
    </row>
    <row r="133" spans="1:13">
      <c r="A133" s="1" t="s">
        <v>853</v>
      </c>
      <c r="B133" s="2" t="str">
        <f>HYPERLINK("https://docket.philalegal.org/cgi-bin/proxy.pl?ct=140602173","140602173")</f>
        <v>140602173</v>
      </c>
      <c r="C133" s="3" t="s">
        <v>847</v>
      </c>
      <c r="D133" s="3" t="s">
        <v>26</v>
      </c>
      <c r="E133" s="3" t="s">
        <v>848</v>
      </c>
      <c r="F133" s="3" t="s">
        <v>17</v>
      </c>
      <c r="G133" s="3" t="s">
        <v>849</v>
      </c>
      <c r="H133" s="3" t="s">
        <v>234</v>
      </c>
      <c r="I133" s="3" t="s">
        <v>854</v>
      </c>
      <c r="J133" s="3">
        <v>871520840</v>
      </c>
      <c r="K133" s="3" t="s">
        <v>852</v>
      </c>
      <c r="L133" t="s">
        <v>22</v>
      </c>
    </row>
    <row r="134" spans="1:13">
      <c r="A134" s="1" t="s">
        <v>855</v>
      </c>
      <c r="B134" s="2" t="str">
        <f>HYPERLINK("https://docket.philalegal.org/cgi-bin/proxy.pl?ct=170101025","170101025")</f>
        <v>170101025</v>
      </c>
      <c r="C134" s="3" t="s">
        <v>856</v>
      </c>
      <c r="D134" s="3" t="s">
        <v>96</v>
      </c>
      <c r="E134" s="3" t="s">
        <v>848</v>
      </c>
      <c r="F134" s="3" t="s">
        <v>105</v>
      </c>
      <c r="G134" s="3" t="s">
        <v>857</v>
      </c>
      <c r="H134" s="3" t="s">
        <v>858</v>
      </c>
      <c r="I134" s="3" t="s">
        <v>859</v>
      </c>
      <c r="J134" s="3">
        <v>311132500</v>
      </c>
      <c r="K134" s="3" t="s">
        <v>860</v>
      </c>
      <c r="L134" t="s">
        <v>203</v>
      </c>
    </row>
    <row r="135" spans="1:13">
      <c r="A135" s="1" t="s">
        <v>861</v>
      </c>
      <c r="B135" s="2" t="str">
        <f>HYPERLINK("https://docket.philalegal.org/cgi-bin/proxy.pl?ct=170901660","170901660")</f>
        <v>170901660</v>
      </c>
      <c r="C135" s="3" t="s">
        <v>862</v>
      </c>
      <c r="D135" s="3" t="s">
        <v>26</v>
      </c>
      <c r="E135" s="3" t="s">
        <v>848</v>
      </c>
      <c r="F135" s="3" t="s">
        <v>105</v>
      </c>
      <c r="G135" s="3" t="s">
        <v>863</v>
      </c>
      <c r="H135" s="3"/>
      <c r="I135" s="3" t="s">
        <v>864</v>
      </c>
      <c r="J135" s="3">
        <v>311196500</v>
      </c>
      <c r="K135" s="3" t="s">
        <v>865</v>
      </c>
      <c r="L135" t="s">
        <v>22</v>
      </c>
    </row>
    <row r="136" spans="1:13">
      <c r="A136" s="1" t="s">
        <v>866</v>
      </c>
      <c r="B136" s="2" t="str">
        <f>HYPERLINK("https://docket.philalegal.org/cgi-bin/proxy.pl?ct=180104970","180104970")</f>
        <v>180104970</v>
      </c>
      <c r="C136" s="3" t="s">
        <v>867</v>
      </c>
      <c r="D136" s="3" t="s">
        <v>96</v>
      </c>
      <c r="E136" s="3" t="s">
        <v>848</v>
      </c>
      <c r="F136" s="3" t="s">
        <v>105</v>
      </c>
      <c r="G136" s="3" t="s">
        <v>868</v>
      </c>
      <c r="H136" s="3" t="s">
        <v>869</v>
      </c>
      <c r="I136" s="3" t="s">
        <v>870</v>
      </c>
      <c r="J136" s="3">
        <v>871514390</v>
      </c>
      <c r="K136" s="3" t="s">
        <v>871</v>
      </c>
      <c r="L136" t="s">
        <v>209</v>
      </c>
    </row>
    <row r="137" spans="1:13">
      <c r="A137" s="1" t="s">
        <v>872</v>
      </c>
      <c r="B137" s="2" t="str">
        <f>HYPERLINK("https://docket.philalegal.org/cgi-bin/proxy.pl?ct=140801169","140801169")</f>
        <v>140801169</v>
      </c>
      <c r="C137" s="3" t="s">
        <v>873</v>
      </c>
      <c r="D137" s="3" t="s">
        <v>96</v>
      </c>
      <c r="E137" s="3" t="s">
        <v>874</v>
      </c>
      <c r="F137" s="3" t="s">
        <v>17</v>
      </c>
      <c r="G137" s="3" t="s">
        <v>875</v>
      </c>
      <c r="H137" s="3" t="s">
        <v>876</v>
      </c>
      <c r="I137" s="3" t="s">
        <v>877</v>
      </c>
      <c r="J137" s="3">
        <v>365210000</v>
      </c>
      <c r="K137" s="3" t="s">
        <v>878</v>
      </c>
      <c r="L137" t="s">
        <v>879</v>
      </c>
    </row>
    <row r="138" spans="1:13">
      <c r="A138" s="1" t="s">
        <v>880</v>
      </c>
      <c r="B138" s="2" t="str">
        <f>HYPERLINK("https://docket.philalegal.org/cgi-bin/proxy.pl?ct=160402276","160402276")</f>
        <v>160402276</v>
      </c>
      <c r="C138" s="3" t="s">
        <v>881</v>
      </c>
      <c r="D138" s="3" t="s">
        <v>15</v>
      </c>
      <c r="E138" s="3" t="s">
        <v>882</v>
      </c>
      <c r="F138" s="3" t="s">
        <v>105</v>
      </c>
      <c r="G138" s="3" t="s">
        <v>883</v>
      </c>
      <c r="H138" s="3" t="s">
        <v>884</v>
      </c>
      <c r="I138" s="3" t="s">
        <v>885</v>
      </c>
      <c r="J138" s="3">
        <v>365225800</v>
      </c>
      <c r="K138" s="3" t="s">
        <v>886</v>
      </c>
      <c r="L138" t="s">
        <v>22</v>
      </c>
    </row>
    <row r="139" spans="1:13">
      <c r="A139" s="1" t="s">
        <v>887</v>
      </c>
      <c r="B139" s="2" t="str">
        <f>HYPERLINK("https://docket.philalegal.org/cgi-bin/proxy.pl?ct=180100831","180100831")</f>
        <v>180100831</v>
      </c>
      <c r="C139" s="3" t="s">
        <v>888</v>
      </c>
      <c r="D139" s="3" t="s">
        <v>96</v>
      </c>
      <c r="E139" s="3" t="s">
        <v>882</v>
      </c>
      <c r="F139" s="3" t="s">
        <v>645</v>
      </c>
      <c r="G139" s="3" t="s">
        <v>889</v>
      </c>
      <c r="H139" s="3" t="s">
        <v>890</v>
      </c>
      <c r="I139" s="3" t="s">
        <v>891</v>
      </c>
      <c r="J139" s="3">
        <v>365167800</v>
      </c>
      <c r="K139" s="3" t="s">
        <v>892</v>
      </c>
      <c r="L139" t="s">
        <v>893</v>
      </c>
    </row>
    <row r="140" spans="1:13">
      <c r="A140" s="1" t="s">
        <v>894</v>
      </c>
      <c r="B140" s="2" t="str">
        <f>HYPERLINK("https://docket.philalegal.org/cgi-bin/proxy.pl?ct=160502348","160502348")</f>
        <v>160502348</v>
      </c>
      <c r="C140" s="3" t="s">
        <v>895</v>
      </c>
      <c r="D140" s="3" t="s">
        <v>96</v>
      </c>
      <c r="E140" s="3" t="s">
        <v>882</v>
      </c>
      <c r="F140" s="3" t="s">
        <v>105</v>
      </c>
      <c r="G140" s="3" t="s">
        <v>896</v>
      </c>
      <c r="H140" s="3" t="s">
        <v>897</v>
      </c>
      <c r="I140" s="3" t="s">
        <v>898</v>
      </c>
      <c r="J140" s="3">
        <v>365168000</v>
      </c>
      <c r="K140" s="3" t="s">
        <v>899</v>
      </c>
      <c r="L140" t="s">
        <v>203</v>
      </c>
    </row>
    <row r="141" spans="1:13">
      <c r="A141" s="1" t="s">
        <v>900</v>
      </c>
      <c r="B141" s="2" t="str">
        <f>HYPERLINK("https://docket.philalegal.org/cgi-bin/proxy.pl?ct=160800801","160800801")</f>
        <v>160800801</v>
      </c>
      <c r="C141" s="3" t="s">
        <v>901</v>
      </c>
      <c r="D141" s="3" t="s">
        <v>26</v>
      </c>
      <c r="E141" s="3" t="s">
        <v>882</v>
      </c>
      <c r="F141" s="3" t="s">
        <v>105</v>
      </c>
      <c r="G141" s="3" t="s">
        <v>902</v>
      </c>
      <c r="H141" s="3"/>
      <c r="I141" s="3" t="s">
        <v>903</v>
      </c>
      <c r="J141" s="3">
        <v>365167900</v>
      </c>
      <c r="K141" s="3" t="s">
        <v>904</v>
      </c>
      <c r="L141" t="s">
        <v>22</v>
      </c>
    </row>
    <row r="142" spans="1:13">
      <c r="A142" s="1" t="s">
        <v>905</v>
      </c>
      <c r="B142" s="2" t="str">
        <f>HYPERLINK("https://docket.philalegal.org/cgi-bin/proxy.pl?ct=160402275","160402275")</f>
        <v>160402275</v>
      </c>
      <c r="C142" s="3" t="s">
        <v>906</v>
      </c>
      <c r="D142" s="3" t="s">
        <v>96</v>
      </c>
      <c r="E142" s="3" t="s">
        <v>882</v>
      </c>
      <c r="F142" s="3" t="s">
        <v>105</v>
      </c>
      <c r="G142" s="3" t="s">
        <v>907</v>
      </c>
      <c r="H142" s="3" t="s">
        <v>908</v>
      </c>
      <c r="I142" s="3" t="s">
        <v>909</v>
      </c>
      <c r="J142" s="3">
        <v>365224900</v>
      </c>
      <c r="K142" s="3" t="s">
        <v>910</v>
      </c>
      <c r="L142" t="s">
        <v>911</v>
      </c>
    </row>
    <row r="143" spans="1:13">
      <c r="A143" s="1" t="s">
        <v>912</v>
      </c>
      <c r="B143" s="2" t="str">
        <f>HYPERLINK("https://docket.philalegal.org/cgi-bin/proxy.pl?ct=160402277","160402277")</f>
        <v>160402277</v>
      </c>
      <c r="C143" s="3" t="s">
        <v>913</v>
      </c>
      <c r="D143" s="3" t="s">
        <v>96</v>
      </c>
      <c r="E143" s="3" t="s">
        <v>882</v>
      </c>
      <c r="F143" s="3" t="s">
        <v>105</v>
      </c>
      <c r="G143" s="3" t="s">
        <v>914</v>
      </c>
      <c r="H143" s="3" t="s">
        <v>915</v>
      </c>
      <c r="I143" s="3" t="s">
        <v>916</v>
      </c>
      <c r="J143" s="3">
        <v>365241900</v>
      </c>
      <c r="K143" s="3" t="s">
        <v>917</v>
      </c>
      <c r="L143" t="s">
        <v>911</v>
      </c>
    </row>
    <row r="144" spans="1:13">
      <c r="A144" s="1" t="s">
        <v>918</v>
      </c>
      <c r="B144" s="2" t="str">
        <f>HYPERLINK("https://docket.philalegal.org/cgi-bin/proxy.pl?ct=150801551","150801551")</f>
        <v>150801551</v>
      </c>
      <c r="C144" s="3" t="s">
        <v>919</v>
      </c>
      <c r="D144" s="3" t="s">
        <v>96</v>
      </c>
      <c r="E144" s="3" t="s">
        <v>920</v>
      </c>
      <c r="F144" s="3" t="s">
        <v>17</v>
      </c>
      <c r="G144" s="3" t="s">
        <v>921</v>
      </c>
      <c r="H144" s="3"/>
      <c r="I144" s="3" t="s">
        <v>922</v>
      </c>
      <c r="J144" s="3">
        <v>112001800</v>
      </c>
      <c r="K144" s="3" t="s">
        <v>923</v>
      </c>
      <c r="L144" t="s">
        <v>195</v>
      </c>
    </row>
    <row r="145" spans="1:12">
      <c r="A145" s="1" t="s">
        <v>924</v>
      </c>
      <c r="B145" s="2" t="str">
        <f>HYPERLINK("https://docket.philalegal.org/cgi-bin/proxy.pl?ct=150801525","150801525")</f>
        <v>150801525</v>
      </c>
      <c r="C145" s="3" t="s">
        <v>925</v>
      </c>
      <c r="D145" s="3" t="s">
        <v>96</v>
      </c>
      <c r="E145" s="3" t="s">
        <v>920</v>
      </c>
      <c r="F145" s="3" t="s">
        <v>17</v>
      </c>
      <c r="G145" s="3" t="s">
        <v>926</v>
      </c>
      <c r="H145" s="3"/>
      <c r="I145" s="3" t="s">
        <v>927</v>
      </c>
      <c r="J145" s="3">
        <v>112001600</v>
      </c>
      <c r="K145" s="3" t="s">
        <v>928</v>
      </c>
      <c r="L145" t="s">
        <v>195</v>
      </c>
    </row>
    <row r="146" spans="1:12">
      <c r="A146" s="1" t="s">
        <v>929</v>
      </c>
      <c r="B146" s="2" t="str">
        <f>HYPERLINK("https://docket.philalegal.org/cgi-bin/proxy.pl?ct=151000310","151000310")</f>
        <v>151000310</v>
      </c>
      <c r="C146" s="3" t="s">
        <v>925</v>
      </c>
      <c r="D146" s="3" t="s">
        <v>26</v>
      </c>
      <c r="E146" s="3" t="s">
        <v>920</v>
      </c>
      <c r="F146" s="3" t="s">
        <v>17</v>
      </c>
      <c r="G146" s="3" t="s">
        <v>926</v>
      </c>
      <c r="H146" s="3" t="s">
        <v>930</v>
      </c>
      <c r="I146" s="3" t="s">
        <v>927</v>
      </c>
      <c r="J146" s="3">
        <v>112001600</v>
      </c>
      <c r="K146" s="3" t="s">
        <v>931</v>
      </c>
      <c r="L146" t="s">
        <v>22</v>
      </c>
    </row>
    <row r="147" spans="1:12">
      <c r="A147" s="1" t="s">
        <v>932</v>
      </c>
      <c r="B147" s="2" t="str">
        <f>HYPERLINK("https://docket.philalegal.org/cgi-bin/proxy.pl?ct=151000442","151000442")</f>
        <v>151000442</v>
      </c>
      <c r="C147" s="3" t="s">
        <v>933</v>
      </c>
      <c r="D147" s="3" t="s">
        <v>96</v>
      </c>
      <c r="E147" s="3" t="s">
        <v>920</v>
      </c>
      <c r="F147" s="3" t="s">
        <v>17</v>
      </c>
      <c r="G147" s="3" t="s">
        <v>934</v>
      </c>
      <c r="H147" s="3" t="s">
        <v>935</v>
      </c>
      <c r="I147" s="3" t="s">
        <v>922</v>
      </c>
      <c r="J147" s="3">
        <v>112001800</v>
      </c>
      <c r="K147" s="3" t="s">
        <v>936</v>
      </c>
      <c r="L147" t="s">
        <v>203</v>
      </c>
    </row>
    <row r="148" spans="1:12">
      <c r="A148" s="1" t="s">
        <v>937</v>
      </c>
      <c r="B148" s="2" t="str">
        <f>HYPERLINK("https://docket.philalegal.org/cgi-bin/proxy.pl?ct=160801969","160801969")</f>
        <v>160801969</v>
      </c>
      <c r="C148" s="3" t="s">
        <v>938</v>
      </c>
      <c r="D148" s="3" t="s">
        <v>15</v>
      </c>
      <c r="E148" s="3" t="s">
        <v>939</v>
      </c>
      <c r="F148" s="3" t="s">
        <v>456</v>
      </c>
      <c r="G148" s="3" t="s">
        <v>940</v>
      </c>
      <c r="H148" s="3" t="s">
        <v>941</v>
      </c>
      <c r="I148" s="3" t="s">
        <v>942</v>
      </c>
      <c r="J148" s="3">
        <v>462124100</v>
      </c>
      <c r="K148" s="3" t="s">
        <v>943</v>
      </c>
      <c r="L148" t="s">
        <v>209</v>
      </c>
    </row>
    <row r="149" spans="1:12">
      <c r="A149" s="1" t="s">
        <v>944</v>
      </c>
      <c r="B149" s="2" t="str">
        <f>HYPERLINK("https://docket.philalegal.org/cgi-bin/proxy.pl?ct=160801968","160801968")</f>
        <v>160801968</v>
      </c>
      <c r="C149" s="3" t="s">
        <v>945</v>
      </c>
      <c r="D149" s="3" t="s">
        <v>96</v>
      </c>
      <c r="E149" s="3" t="s">
        <v>939</v>
      </c>
      <c r="F149" s="3" t="s">
        <v>946</v>
      </c>
      <c r="G149" s="3" t="s">
        <v>947</v>
      </c>
      <c r="H149" s="3"/>
      <c r="I149" s="3" t="s">
        <v>948</v>
      </c>
      <c r="J149" s="3">
        <v>871572440</v>
      </c>
      <c r="K149" s="3" t="s">
        <v>949</v>
      </c>
      <c r="L149" t="s">
        <v>203</v>
      </c>
    </row>
    <row r="150" spans="1:12">
      <c r="A150" s="1" t="s">
        <v>950</v>
      </c>
      <c r="B150" s="2" t="str">
        <f>HYPERLINK("https://docket.philalegal.org/cgi-bin/proxy.pl?ct=160802694","160802694")</f>
        <v>160802694</v>
      </c>
      <c r="C150" s="3" t="s">
        <v>951</v>
      </c>
      <c r="D150" s="3" t="s">
        <v>15</v>
      </c>
      <c r="E150" s="3" t="s">
        <v>939</v>
      </c>
      <c r="F150" s="3" t="s">
        <v>456</v>
      </c>
      <c r="G150" s="3" t="s">
        <v>952</v>
      </c>
      <c r="H150" s="3" t="s">
        <v>953</v>
      </c>
      <c r="I150" s="3" t="s">
        <v>954</v>
      </c>
      <c r="J150" s="3">
        <v>871233000</v>
      </c>
      <c r="K150" s="3" t="s">
        <v>955</v>
      </c>
      <c r="L150" t="s">
        <v>209</v>
      </c>
    </row>
    <row r="151" spans="1:12">
      <c r="A151" s="1" t="s">
        <v>956</v>
      </c>
      <c r="B151" s="2" t="str">
        <f>HYPERLINK("https://docket.philalegal.org/cgi-bin/proxy.pl?ct=160801845","160801845")</f>
        <v>160801845</v>
      </c>
      <c r="C151" s="3" t="s">
        <v>957</v>
      </c>
      <c r="D151" s="3" t="s">
        <v>15</v>
      </c>
      <c r="E151" s="3" t="s">
        <v>939</v>
      </c>
      <c r="F151" s="3" t="s">
        <v>456</v>
      </c>
      <c r="G151" s="3" t="s">
        <v>958</v>
      </c>
      <c r="H151" s="3"/>
      <c r="I151" s="3" t="s">
        <v>959</v>
      </c>
      <c r="J151" s="3">
        <v>602147400</v>
      </c>
      <c r="K151" s="3" t="s">
        <v>960</v>
      </c>
      <c r="L151" t="s">
        <v>209</v>
      </c>
    </row>
    <row r="152" spans="1:12">
      <c r="A152" s="1" t="s">
        <v>961</v>
      </c>
      <c r="B152" s="2" t="str">
        <f>HYPERLINK("https://docket.philalegal.org/cgi-bin/proxy.pl?ct=160801967","160801967")</f>
        <v>160801967</v>
      </c>
      <c r="C152" s="3" t="s">
        <v>962</v>
      </c>
      <c r="D152" s="3" t="s">
        <v>15</v>
      </c>
      <c r="E152" s="3" t="s">
        <v>939</v>
      </c>
      <c r="F152" s="3" t="s">
        <v>456</v>
      </c>
      <c r="G152" s="3" t="s">
        <v>963</v>
      </c>
      <c r="H152" s="3"/>
      <c r="I152" s="3" t="s">
        <v>964</v>
      </c>
      <c r="J152" s="3">
        <v>871215500</v>
      </c>
      <c r="K152" s="3" t="s">
        <v>965</v>
      </c>
      <c r="L152" t="s">
        <v>209</v>
      </c>
    </row>
    <row r="153" spans="1:12">
      <c r="A153" s="1" t="s">
        <v>966</v>
      </c>
      <c r="B153" s="2" t="str">
        <f>HYPERLINK("https://docket.philalegal.org/cgi-bin/proxy.pl?ct=160902518","160902518")</f>
        <v>160902518</v>
      </c>
      <c r="C153" s="3" t="s">
        <v>967</v>
      </c>
      <c r="D153" s="3" t="s">
        <v>96</v>
      </c>
      <c r="E153" s="3" t="s">
        <v>968</v>
      </c>
      <c r="F153" s="3" t="s">
        <v>456</v>
      </c>
      <c r="G153" s="3" t="s">
        <v>969</v>
      </c>
      <c r="H153" s="3" t="s">
        <v>970</v>
      </c>
      <c r="I153" s="3" t="s">
        <v>971</v>
      </c>
      <c r="J153" s="3">
        <v>292230600</v>
      </c>
      <c r="K153" s="3" t="s">
        <v>972</v>
      </c>
      <c r="L153" t="s">
        <v>203</v>
      </c>
    </row>
    <row r="154" spans="1:12">
      <c r="A154" s="1" t="s">
        <v>973</v>
      </c>
      <c r="B154" s="2" t="str">
        <f>HYPERLINK("https://docket.philalegal.org/cgi-bin/proxy.pl?ct=160301869","160301869")</f>
        <v>160301869</v>
      </c>
      <c r="C154" s="3" t="s">
        <v>974</v>
      </c>
      <c r="D154" s="3" t="s">
        <v>96</v>
      </c>
      <c r="E154" s="3" t="s">
        <v>968</v>
      </c>
      <c r="F154" s="3" t="s">
        <v>975</v>
      </c>
      <c r="G154" s="3" t="s">
        <v>976</v>
      </c>
      <c r="H154" s="3" t="s">
        <v>977</v>
      </c>
      <c r="I154" s="3" t="s">
        <v>978</v>
      </c>
      <c r="J154" s="3">
        <v>292189400</v>
      </c>
      <c r="K154" s="3" t="s">
        <v>979</v>
      </c>
      <c r="L154" t="s">
        <v>980</v>
      </c>
    </row>
    <row r="155" spans="1:12">
      <c r="A155" s="1" t="s">
        <v>981</v>
      </c>
      <c r="B155" s="2" t="str">
        <f>HYPERLINK("https://docket.philalegal.org/cgi-bin/proxy.pl?ct=160301872","160301872")</f>
        <v>160301872</v>
      </c>
      <c r="C155" s="3" t="s">
        <v>982</v>
      </c>
      <c r="D155" s="3" t="s">
        <v>96</v>
      </c>
      <c r="E155" s="3" t="s">
        <v>968</v>
      </c>
      <c r="F155" s="3" t="s">
        <v>456</v>
      </c>
      <c r="G155" s="3" t="s">
        <v>983</v>
      </c>
      <c r="H155" s="3"/>
      <c r="I155" s="3" t="s">
        <v>984</v>
      </c>
      <c r="J155" s="3">
        <v>292190900</v>
      </c>
      <c r="K155" s="3" t="s">
        <v>985</v>
      </c>
      <c r="L155" t="s">
        <v>209</v>
      </c>
    </row>
    <row r="156" spans="1:12">
      <c r="A156" s="1" t="s">
        <v>986</v>
      </c>
      <c r="B156" s="2" t="str">
        <f>HYPERLINK("https://docket.philalegal.org/cgi-bin/proxy.pl?ct=160301870","160301870")</f>
        <v>160301870</v>
      </c>
      <c r="C156" s="3" t="s">
        <v>987</v>
      </c>
      <c r="D156" s="3" t="s">
        <v>96</v>
      </c>
      <c r="E156" s="3" t="s">
        <v>968</v>
      </c>
      <c r="F156" s="3" t="s">
        <v>975</v>
      </c>
      <c r="G156" s="3" t="s">
        <v>988</v>
      </c>
      <c r="H156" s="3" t="s">
        <v>428</v>
      </c>
      <c r="I156" s="3" t="s">
        <v>989</v>
      </c>
      <c r="J156" s="3">
        <v>292192100</v>
      </c>
      <c r="K156" s="3" t="s">
        <v>990</v>
      </c>
      <c r="L156" t="s">
        <v>980</v>
      </c>
    </row>
    <row r="157" spans="1:12">
      <c r="A157" s="1" t="s">
        <v>991</v>
      </c>
      <c r="B157" s="2" t="str">
        <f>HYPERLINK("https://docket.philalegal.org/cgi-bin/proxy.pl?ct=160301871","160301871")</f>
        <v>160301871</v>
      </c>
      <c r="C157" s="3" t="s">
        <v>992</v>
      </c>
      <c r="D157" s="3" t="s">
        <v>15</v>
      </c>
      <c r="E157" s="3" t="s">
        <v>968</v>
      </c>
      <c r="F157" s="3" t="s">
        <v>946</v>
      </c>
      <c r="G157" s="3" t="s">
        <v>993</v>
      </c>
      <c r="H157" s="3"/>
      <c r="I157" s="3" t="s">
        <v>994</v>
      </c>
      <c r="J157" s="3">
        <v>292190800</v>
      </c>
      <c r="K157" s="3" t="s">
        <v>995</v>
      </c>
      <c r="L157" t="s">
        <v>209</v>
      </c>
    </row>
    <row r="158" spans="1:12">
      <c r="A158" s="1" t="s">
        <v>996</v>
      </c>
      <c r="B158" s="2" t="str">
        <f>HYPERLINK("https://docket.philalegal.org/cgi-bin/proxy.pl?ct=141100576","141100576")</f>
        <v>141100576</v>
      </c>
      <c r="C158" s="3" t="s">
        <v>997</v>
      </c>
      <c r="D158" s="3" t="s">
        <v>96</v>
      </c>
      <c r="E158" s="3" t="s">
        <v>998</v>
      </c>
      <c r="F158" s="3" t="s">
        <v>740</v>
      </c>
      <c r="G158" s="3" t="s">
        <v>741</v>
      </c>
      <c r="H158" s="3"/>
      <c r="I158" s="3" t="s">
        <v>742</v>
      </c>
      <c r="J158" s="3">
        <v>102437100</v>
      </c>
      <c r="K158" s="3" t="s">
        <v>999</v>
      </c>
      <c r="L158" t="s">
        <v>195</v>
      </c>
    </row>
    <row r="159" spans="1:12">
      <c r="A159" s="1" t="s">
        <v>1000</v>
      </c>
      <c r="B159" s="2" t="str">
        <f>HYPERLINK("https://docket.philalegal.org/cgi-bin/proxy.pl?ct=170503868","170503868")</f>
        <v>170503868</v>
      </c>
      <c r="C159" s="3" t="s">
        <v>1001</v>
      </c>
      <c r="D159" s="3" t="s">
        <v>96</v>
      </c>
      <c r="E159" s="3" t="s">
        <v>1002</v>
      </c>
      <c r="F159" s="3" t="s">
        <v>1003</v>
      </c>
      <c r="G159" s="3" t="s">
        <v>1004</v>
      </c>
      <c r="H159" s="3"/>
      <c r="I159" s="3" t="s">
        <v>1005</v>
      </c>
      <c r="J159" s="3">
        <v>885061760</v>
      </c>
      <c r="K159" s="3" t="s">
        <v>1006</v>
      </c>
      <c r="L159" s="4" t="s">
        <v>980</v>
      </c>
    </row>
    <row r="160" spans="1:12">
      <c r="A160" s="1" t="s">
        <v>1007</v>
      </c>
      <c r="B160" s="2" t="str">
        <f>HYPERLINK("https://docket.philalegal.org/cgi-bin/proxy.pl?ct=161000706","161000706")</f>
        <v>161000706</v>
      </c>
      <c r="C160" s="3" t="s">
        <v>1008</v>
      </c>
      <c r="D160" s="3" t="s">
        <v>26</v>
      </c>
      <c r="E160" s="3" t="s">
        <v>1009</v>
      </c>
      <c r="F160" s="3" t="s">
        <v>158</v>
      </c>
      <c r="G160" s="3" t="s">
        <v>1010</v>
      </c>
      <c r="H160" s="3"/>
      <c r="I160" s="3" t="s">
        <v>1011</v>
      </c>
      <c r="J160" s="3">
        <v>213262500</v>
      </c>
      <c r="K160" s="3" t="s">
        <v>1012</v>
      </c>
      <c r="L160" t="s">
        <v>22</v>
      </c>
    </row>
    <row r="161" spans="1:12">
      <c r="A161" s="1" t="s">
        <v>1013</v>
      </c>
      <c r="B161" s="2" t="str">
        <f>HYPERLINK("https://docket.philalegal.org/cgi-bin/proxy.pl?ct=140100161","140100161")</f>
        <v>140100161</v>
      </c>
      <c r="C161" s="3" t="s">
        <v>1014</v>
      </c>
      <c r="D161" s="3" t="s">
        <v>15</v>
      </c>
      <c r="E161" s="3" t="s">
        <v>1015</v>
      </c>
      <c r="F161" s="3" t="s">
        <v>829</v>
      </c>
      <c r="G161" s="3" t="s">
        <v>1016</v>
      </c>
      <c r="H161" s="3"/>
      <c r="I161" s="3" t="s">
        <v>1017</v>
      </c>
      <c r="J161" s="3">
        <v>301095900</v>
      </c>
      <c r="K161" s="3" t="s">
        <v>1018</v>
      </c>
      <c r="L161" t="s">
        <v>209</v>
      </c>
    </row>
    <row r="162" spans="1:12">
      <c r="A162" s="1" t="s">
        <v>1019</v>
      </c>
      <c r="B162" s="2" t="str">
        <f>HYPERLINK("https://docket.philalegal.org/cgi-bin/proxy.pl?ct=140703879","140703879")</f>
        <v>140703879</v>
      </c>
      <c r="C162" s="3" t="s">
        <v>1020</v>
      </c>
      <c r="D162" s="3" t="s">
        <v>96</v>
      </c>
      <c r="E162" s="3" t="s">
        <v>1021</v>
      </c>
      <c r="F162" s="3" t="s">
        <v>17</v>
      </c>
      <c r="G162" s="3" t="s">
        <v>1022</v>
      </c>
      <c r="H162" s="3" t="s">
        <v>876</v>
      </c>
      <c r="I162" s="3" t="s">
        <v>1023</v>
      </c>
      <c r="J162" s="3">
        <v>152236300</v>
      </c>
      <c r="K162" s="3" t="s">
        <v>1024</v>
      </c>
      <c r="L162" t="s">
        <v>237</v>
      </c>
    </row>
    <row r="163" spans="1:12">
      <c r="A163" s="1" t="s">
        <v>1025</v>
      </c>
      <c r="B163" s="2" t="str">
        <f>HYPERLINK("https://docket.philalegal.org/cgi-bin/proxy.pl?ct=170501794","170501794")</f>
        <v>170501794</v>
      </c>
      <c r="C163" s="3" t="s">
        <v>1026</v>
      </c>
      <c r="D163" s="3" t="s">
        <v>96</v>
      </c>
      <c r="E163" s="3" t="s">
        <v>1027</v>
      </c>
      <c r="F163" s="3" t="s">
        <v>105</v>
      </c>
      <c r="G163" s="3" t="s">
        <v>1028</v>
      </c>
      <c r="H163" s="3" t="s">
        <v>1029</v>
      </c>
      <c r="I163" s="3" t="s">
        <v>1030</v>
      </c>
      <c r="J163" s="3" t="s">
        <v>1031</v>
      </c>
      <c r="K163" s="3" t="s">
        <v>1032</v>
      </c>
      <c r="L163" t="s">
        <v>195</v>
      </c>
    </row>
    <row r="164" spans="1:12">
      <c r="A164" s="1" t="s">
        <v>1033</v>
      </c>
      <c r="B164" s="2" t="str">
        <f>HYPERLINK("https://docket.philalegal.org/cgi-bin/proxy.pl?ct=210402981","210402981")</f>
        <v>210402981</v>
      </c>
      <c r="C164" s="3" t="s">
        <v>1034</v>
      </c>
      <c r="D164" s="3" t="s">
        <v>96</v>
      </c>
      <c r="E164" s="3" t="s">
        <v>1035</v>
      </c>
      <c r="F164" s="3" t="s">
        <v>17</v>
      </c>
      <c r="G164" s="3" t="s">
        <v>1036</v>
      </c>
      <c r="H164" s="3" t="s">
        <v>1037</v>
      </c>
      <c r="I164" s="3" t="s">
        <v>1038</v>
      </c>
      <c r="J164" s="3" t="s">
        <v>1039</v>
      </c>
      <c r="K164" s="3" t="s">
        <v>1040</v>
      </c>
      <c r="L164" t="s">
        <v>195</v>
      </c>
    </row>
    <row r="165" spans="1:12">
      <c r="A165" s="1" t="s">
        <v>1041</v>
      </c>
      <c r="B165" s="2" t="str">
        <f>HYPERLINK("https://docket.philalegal.org/cgi-bin/proxy.pl?ct=190402959","190402959")</f>
        <v>190402959</v>
      </c>
      <c r="C165" s="3" t="s">
        <v>1042</v>
      </c>
      <c r="D165" s="3" t="s">
        <v>96</v>
      </c>
      <c r="E165" s="3" t="s">
        <v>1027</v>
      </c>
      <c r="F165" s="3" t="s">
        <v>17</v>
      </c>
      <c r="G165" s="3" t="s">
        <v>1043</v>
      </c>
      <c r="H165" s="3" t="s">
        <v>1044</v>
      </c>
      <c r="I165" s="3" t="s">
        <v>1045</v>
      </c>
      <c r="J165" s="3">
        <v>301225500</v>
      </c>
      <c r="K165" s="3" t="s">
        <v>1046</v>
      </c>
      <c r="L165" t="s">
        <v>437</v>
      </c>
    </row>
    <row r="166" spans="1:12">
      <c r="A166" s="1" t="s">
        <v>1047</v>
      </c>
      <c r="B166" s="2" t="str">
        <f>HYPERLINK("https://docket.philalegal.org/cgi-bin/proxy.pl?ct=220100033","220100033")</f>
        <v>220100033</v>
      </c>
      <c r="C166" s="3" t="s">
        <v>1048</v>
      </c>
      <c r="D166" s="3" t="s">
        <v>26</v>
      </c>
      <c r="E166" s="3" t="s">
        <v>1027</v>
      </c>
      <c r="F166" s="3" t="s">
        <v>17</v>
      </c>
      <c r="G166" s="3" t="s">
        <v>1049</v>
      </c>
      <c r="H166" s="3" t="s">
        <v>1050</v>
      </c>
      <c r="I166" s="3" t="s">
        <v>1051</v>
      </c>
      <c r="J166" s="3">
        <v>301242800</v>
      </c>
      <c r="K166" s="3" t="s">
        <v>1052</v>
      </c>
      <c r="L166" t="s">
        <v>22</v>
      </c>
    </row>
    <row r="167" spans="1:12">
      <c r="A167" s="1" t="s">
        <v>1053</v>
      </c>
      <c r="B167" s="2" t="str">
        <f>HYPERLINK("https://docket.philalegal.org/cgi-bin/proxy.pl?ct=160101691","160101691")</f>
        <v>160101691</v>
      </c>
      <c r="C167" s="3" t="s">
        <v>1054</v>
      </c>
      <c r="D167" s="3" t="s">
        <v>26</v>
      </c>
      <c r="E167" s="3" t="s">
        <v>1027</v>
      </c>
      <c r="F167" s="3" t="s">
        <v>105</v>
      </c>
      <c r="G167" s="3" t="s">
        <v>1055</v>
      </c>
      <c r="H167" s="3"/>
      <c r="I167" s="3" t="s">
        <v>1056</v>
      </c>
      <c r="J167" s="3">
        <v>365281900</v>
      </c>
      <c r="K167" s="3" t="s">
        <v>1057</v>
      </c>
      <c r="L167" t="s">
        <v>22</v>
      </c>
    </row>
    <row r="168" spans="1:12">
      <c r="A168" s="1" t="s">
        <v>1058</v>
      </c>
      <c r="B168" s="2" t="str">
        <f>HYPERLINK("https://docket.philalegal.org/cgi-bin/proxy.pl?ct=210601687","210601687")</f>
        <v>210601687</v>
      </c>
      <c r="C168" s="3" t="s">
        <v>1059</v>
      </c>
      <c r="D168" s="3" t="s">
        <v>26</v>
      </c>
      <c r="E168" s="3" t="s">
        <v>1060</v>
      </c>
      <c r="F168" s="3" t="s">
        <v>17</v>
      </c>
      <c r="G168" s="3" t="s">
        <v>1061</v>
      </c>
      <c r="H168" s="3" t="s">
        <v>1062</v>
      </c>
      <c r="I168" s="3" t="s">
        <v>1063</v>
      </c>
      <c r="J168" s="3">
        <v>511000500</v>
      </c>
      <c r="K168" s="3" t="s">
        <v>1064</v>
      </c>
      <c r="L168" t="s">
        <v>22</v>
      </c>
    </row>
    <row r="169" spans="1:12">
      <c r="A169" s="1" t="s">
        <v>1065</v>
      </c>
      <c r="B169" s="2" t="str">
        <f>HYPERLINK("https://docket.philalegal.org/cgi-bin/proxy.pl?ct=190404494","190404494")</f>
        <v>190404494</v>
      </c>
      <c r="C169" s="3" t="s">
        <v>1066</v>
      </c>
      <c r="D169" s="3" t="s">
        <v>96</v>
      </c>
      <c r="E169" s="3" t="s">
        <v>1067</v>
      </c>
      <c r="F169" s="3" t="s">
        <v>17</v>
      </c>
      <c r="G169" s="3" t="s">
        <v>1068</v>
      </c>
      <c r="H169" s="3" t="s">
        <v>1029</v>
      </c>
      <c r="I169" s="3" t="s">
        <v>1069</v>
      </c>
      <c r="J169" s="3">
        <v>881707550</v>
      </c>
      <c r="K169" s="3" t="s">
        <v>1070</v>
      </c>
      <c r="L169" t="s">
        <v>1071</v>
      </c>
    </row>
    <row r="170" spans="1:12">
      <c r="A170" s="1" t="s">
        <v>1072</v>
      </c>
      <c r="B170" s="2" t="str">
        <f>HYPERLINK("https://docket.philalegal.org/cgi-bin/proxy.pl?ct=220501096","220501096")</f>
        <v>220501096</v>
      </c>
      <c r="C170" s="3" t="s">
        <v>1073</v>
      </c>
      <c r="D170" s="3" t="s">
        <v>49</v>
      </c>
      <c r="E170" s="3" t="s">
        <v>1074</v>
      </c>
      <c r="F170" s="3" t="s">
        <v>17</v>
      </c>
      <c r="G170" s="3" t="s">
        <v>1075</v>
      </c>
      <c r="H170" s="3"/>
      <c r="I170" s="3" t="s">
        <v>1076</v>
      </c>
      <c r="J170" s="3">
        <v>871530970</v>
      </c>
      <c r="K170" s="3" t="s">
        <v>1077</v>
      </c>
      <c r="L170" t="s">
        <v>46</v>
      </c>
    </row>
    <row r="171" spans="1:12">
      <c r="A171" s="1" t="s">
        <v>1078</v>
      </c>
      <c r="B171" s="2" t="str">
        <f>HYPERLINK("https://docket.philalegal.org/cgi-bin/proxy.pl?ct=150100824","150100824")</f>
        <v>150100824</v>
      </c>
      <c r="C171" s="3" t="s">
        <v>1079</v>
      </c>
      <c r="D171" s="3" t="s">
        <v>96</v>
      </c>
      <c r="E171" s="3" t="s">
        <v>1080</v>
      </c>
      <c r="F171" s="3"/>
      <c r="G171" s="3" t="s">
        <v>1081</v>
      </c>
      <c r="H171" s="3" t="s">
        <v>1082</v>
      </c>
      <c r="I171" s="3" t="s">
        <v>1083</v>
      </c>
      <c r="J171" s="3">
        <v>273033700</v>
      </c>
      <c r="K171" s="3" t="s">
        <v>1084</v>
      </c>
      <c r="L171" t="s">
        <v>195</v>
      </c>
    </row>
    <row r="172" spans="1:12">
      <c r="A172" s="1" t="s">
        <v>1085</v>
      </c>
      <c r="B172" s="2" t="str">
        <f>HYPERLINK("https://docket.philalegal.org/cgi-bin/proxy.pl?ct=100903487","100903487")</f>
        <v>100903487</v>
      </c>
      <c r="C172" s="3" t="s">
        <v>1086</v>
      </c>
      <c r="D172" s="3" t="s">
        <v>96</v>
      </c>
      <c r="E172" s="3" t="s">
        <v>1087</v>
      </c>
      <c r="F172" s="3" t="s">
        <v>1088</v>
      </c>
      <c r="G172" s="3" t="s">
        <v>1089</v>
      </c>
      <c r="H172" s="3" t="s">
        <v>1090</v>
      </c>
      <c r="I172" s="3" t="s">
        <v>1091</v>
      </c>
      <c r="J172" s="3">
        <v>273004600</v>
      </c>
      <c r="K172" s="3" t="s">
        <v>928</v>
      </c>
      <c r="L172" t="s">
        <v>980</v>
      </c>
    </row>
    <row r="173" spans="1:12">
      <c r="A173" s="1" t="s">
        <v>1092</v>
      </c>
      <c r="B173" s="2" t="str">
        <f>HYPERLINK("https://docket.philalegal.org/cgi-bin/proxy.pl?ct=200701522","200701522")</f>
        <v>200701522</v>
      </c>
      <c r="C173" s="3" t="s">
        <v>1093</v>
      </c>
      <c r="D173" s="3" t="s">
        <v>49</v>
      </c>
      <c r="E173" s="3" t="s">
        <v>1094</v>
      </c>
      <c r="F173" s="3" t="s">
        <v>17</v>
      </c>
      <c r="G173" s="3" t="s">
        <v>1095</v>
      </c>
      <c r="H173" s="3" t="s">
        <v>1096</v>
      </c>
      <c r="I173" s="3" t="s">
        <v>1097</v>
      </c>
      <c r="J173" s="3">
        <v>241196600</v>
      </c>
      <c r="K173" s="3" t="s">
        <v>1098</v>
      </c>
      <c r="L173" t="s">
        <v>1099</v>
      </c>
    </row>
    <row r="174" spans="1:12">
      <c r="A174" s="1" t="s">
        <v>1100</v>
      </c>
      <c r="B174" s="2" t="str">
        <f>HYPERLINK("https://docket.philalegal.org/cgi-bin/proxy.pl?ct=161203036","161203036")</f>
        <v>161203036</v>
      </c>
      <c r="C174" s="3" t="s">
        <v>1101</v>
      </c>
      <c r="D174" s="3" t="s">
        <v>26</v>
      </c>
      <c r="E174" s="3" t="s">
        <v>1102</v>
      </c>
      <c r="F174" s="3" t="s">
        <v>105</v>
      </c>
      <c r="G174" s="3" t="s">
        <v>1103</v>
      </c>
      <c r="H174" s="3" t="s">
        <v>1104</v>
      </c>
      <c r="I174" s="3" t="s">
        <v>1105</v>
      </c>
      <c r="J174" s="3">
        <v>183105600</v>
      </c>
      <c r="K174" s="3" t="s">
        <v>1106</v>
      </c>
      <c r="L174" t="s">
        <v>22</v>
      </c>
    </row>
    <row r="175" spans="1:12">
      <c r="A175" s="1" t="s">
        <v>1107</v>
      </c>
      <c r="B175" s="2" t="str">
        <f>HYPERLINK("https://docket.philalegal.org/cgi-bin/proxy.pl?ct=170702246","170702246")</f>
        <v>170702246</v>
      </c>
      <c r="C175" s="3" t="s">
        <v>1108</v>
      </c>
      <c r="D175" s="3" t="s">
        <v>96</v>
      </c>
      <c r="E175" s="3" t="s">
        <v>1109</v>
      </c>
      <c r="F175" s="3" t="s">
        <v>383</v>
      </c>
      <c r="G175" s="3" t="s">
        <v>1110</v>
      </c>
      <c r="H175" s="3" t="s">
        <v>518</v>
      </c>
      <c r="I175" s="3" t="s">
        <v>1111</v>
      </c>
      <c r="J175" s="3">
        <v>363020500</v>
      </c>
      <c r="K175" s="3" t="s">
        <v>1112</v>
      </c>
      <c r="L175" t="s">
        <v>1113</v>
      </c>
    </row>
    <row r="176" spans="1:12">
      <c r="A176" s="1" t="s">
        <v>1114</v>
      </c>
      <c r="B176" s="2" t="str">
        <f>HYPERLINK("https://docket.philalegal.org/cgi-bin/proxy.pl?ct=170303203","170303203")</f>
        <v>170303203</v>
      </c>
      <c r="C176" s="3" t="s">
        <v>1115</v>
      </c>
      <c r="D176" s="3" t="s">
        <v>26</v>
      </c>
      <c r="E176" s="3" t="s">
        <v>1116</v>
      </c>
      <c r="F176" s="3" t="s">
        <v>17</v>
      </c>
      <c r="G176" s="3" t="s">
        <v>1117</v>
      </c>
      <c r="H176" s="3" t="s">
        <v>1118</v>
      </c>
      <c r="I176" s="3" t="s">
        <v>1119</v>
      </c>
      <c r="J176" s="3">
        <v>511024800</v>
      </c>
      <c r="K176" s="3" t="s">
        <v>1120</v>
      </c>
      <c r="L176" t="s">
        <v>22</v>
      </c>
    </row>
    <row r="177" spans="1:12">
      <c r="A177" s="1" t="s">
        <v>1121</v>
      </c>
      <c r="B177" s="2" t="str">
        <f>HYPERLINK("https://docket.philalegal.org/cgi-bin/proxy.pl?ct=150401236","150401236")</f>
        <v>150401236</v>
      </c>
      <c r="C177" s="3" t="s">
        <v>1122</v>
      </c>
      <c r="D177" s="3" t="s">
        <v>96</v>
      </c>
      <c r="E177" s="3" t="s">
        <v>1123</v>
      </c>
      <c r="F177" s="3" t="s">
        <v>17</v>
      </c>
      <c r="G177" s="3" t="s">
        <v>1124</v>
      </c>
      <c r="H177" s="3" t="s">
        <v>803</v>
      </c>
      <c r="I177" s="3" t="s">
        <v>1125</v>
      </c>
      <c r="J177" s="3">
        <v>152112000</v>
      </c>
      <c r="K177" s="3" t="s">
        <v>1126</v>
      </c>
      <c r="L177" t="s">
        <v>195</v>
      </c>
    </row>
    <row r="178" spans="1:12">
      <c r="A178" s="1" t="s">
        <v>1127</v>
      </c>
      <c r="B178" s="2" t="str">
        <f>HYPERLINK("https://docket.philalegal.org/cgi-bin/proxy.pl?ct=150402580","150402580")</f>
        <v>150402580</v>
      </c>
      <c r="C178" s="3" t="s">
        <v>1122</v>
      </c>
      <c r="D178" s="3" t="s">
        <v>26</v>
      </c>
      <c r="E178" s="3" t="s">
        <v>1123</v>
      </c>
      <c r="F178" s="3" t="s">
        <v>17</v>
      </c>
      <c r="G178" s="3" t="s">
        <v>1124</v>
      </c>
      <c r="H178" s="3"/>
      <c r="I178" s="3" t="s">
        <v>1125</v>
      </c>
      <c r="J178" s="3">
        <v>152112000</v>
      </c>
      <c r="K178" s="3" t="s">
        <v>1128</v>
      </c>
      <c r="L178" t="s">
        <v>22</v>
      </c>
    </row>
    <row r="179" spans="1:12">
      <c r="A179" s="1" t="s">
        <v>1129</v>
      </c>
      <c r="B179" s="2" t="str">
        <f>HYPERLINK("https://docket.philalegal.org/cgi-bin/proxy.pl?ct=120301597","120301597")</f>
        <v>120301597</v>
      </c>
      <c r="C179" s="3" t="s">
        <v>1130</v>
      </c>
      <c r="D179" s="3" t="s">
        <v>26</v>
      </c>
      <c r="E179" s="3" t="s">
        <v>1131</v>
      </c>
      <c r="F179" s="3" t="s">
        <v>17</v>
      </c>
      <c r="G179" s="3" t="s">
        <v>1132</v>
      </c>
      <c r="H179" s="3"/>
      <c r="I179" s="3" t="s">
        <v>1133</v>
      </c>
      <c r="J179" s="3">
        <v>363309350</v>
      </c>
      <c r="K179" s="3" t="s">
        <v>1134</v>
      </c>
      <c r="L179" t="s">
        <v>237</v>
      </c>
    </row>
    <row r="180" spans="1:12">
      <c r="A180" s="1" t="s">
        <v>1135</v>
      </c>
      <c r="B180" s="2" t="str">
        <f>HYPERLINK("https://docket.philalegal.org/cgi-bin/proxy.pl?ct=130501881","130501881")</f>
        <v>130501881</v>
      </c>
      <c r="C180" s="3" t="s">
        <v>1136</v>
      </c>
      <c r="D180" s="3" t="s">
        <v>15</v>
      </c>
      <c r="E180" s="3" t="s">
        <v>1137</v>
      </c>
      <c r="F180" s="3" t="s">
        <v>843</v>
      </c>
      <c r="G180" s="3" t="s">
        <v>1138</v>
      </c>
      <c r="H180" s="3" t="s">
        <v>1139</v>
      </c>
      <c r="I180" s="3" t="s">
        <v>1140</v>
      </c>
      <c r="J180" s="3">
        <v>882921265</v>
      </c>
      <c r="K180" s="3" t="s">
        <v>1141</v>
      </c>
      <c r="L180" t="s">
        <v>237</v>
      </c>
    </row>
    <row r="181" spans="1:12">
      <c r="A181" s="1" t="s">
        <v>1142</v>
      </c>
      <c r="B181" s="2" t="str">
        <f>HYPERLINK("https://docket.philalegal.org/cgi-bin/proxy.pl?ct=120300376","120300376")</f>
        <v>120300376</v>
      </c>
      <c r="C181" s="3" t="s">
        <v>1143</v>
      </c>
      <c r="D181" s="3" t="s">
        <v>26</v>
      </c>
      <c r="E181" s="3" t="s">
        <v>1144</v>
      </c>
      <c r="F181" s="3" t="s">
        <v>17</v>
      </c>
      <c r="G181" s="3" t="s">
        <v>1145</v>
      </c>
      <c r="H181" s="3"/>
      <c r="I181" s="3" t="s">
        <v>1146</v>
      </c>
      <c r="J181" s="3">
        <v>394568000</v>
      </c>
      <c r="K181" s="3" t="s">
        <v>1147</v>
      </c>
      <c r="L181" t="s">
        <v>237</v>
      </c>
    </row>
    <row r="182" spans="1:12">
      <c r="A182" s="1" t="s">
        <v>1148</v>
      </c>
      <c r="B182" s="2" t="str">
        <f>HYPERLINK("https://docket.philalegal.org/cgi-bin/proxy.pl?ct=200501864","200501864")</f>
        <v>200501864</v>
      </c>
      <c r="C182" s="3" t="s">
        <v>1149</v>
      </c>
      <c r="D182" s="3" t="s">
        <v>96</v>
      </c>
      <c r="E182" s="3" t="s">
        <v>1150</v>
      </c>
      <c r="F182" s="3" t="s">
        <v>17</v>
      </c>
      <c r="G182" s="3" t="s">
        <v>315</v>
      </c>
      <c r="H182" s="3" t="s">
        <v>1151</v>
      </c>
      <c r="I182" s="3" t="s">
        <v>316</v>
      </c>
      <c r="J182" s="3">
        <v>151352610</v>
      </c>
      <c r="K182" s="3" t="s">
        <v>1152</v>
      </c>
      <c r="L182" t="s">
        <v>203</v>
      </c>
    </row>
    <row r="183" spans="1:12">
      <c r="A183" s="1" t="s">
        <v>1153</v>
      </c>
      <c r="B183" s="2" t="str">
        <f>HYPERLINK("https://docket.philalegal.org/cgi-bin/proxy.pl?ct=160400301","160400301")</f>
        <v>160400301</v>
      </c>
      <c r="C183" s="3" t="s">
        <v>1154</v>
      </c>
      <c r="D183" s="3" t="s">
        <v>26</v>
      </c>
      <c r="E183" s="3" t="s">
        <v>1155</v>
      </c>
      <c r="F183" s="3" t="s">
        <v>105</v>
      </c>
      <c r="G183" s="3" t="s">
        <v>1156</v>
      </c>
      <c r="H183" s="3"/>
      <c r="I183" s="3" t="s">
        <v>1157</v>
      </c>
      <c r="J183" s="3">
        <v>151024100</v>
      </c>
      <c r="K183" s="3" t="s">
        <v>1158</v>
      </c>
      <c r="L183" t="s">
        <v>22</v>
      </c>
    </row>
    <row r="184" spans="1:12">
      <c r="A184" s="1" t="s">
        <v>1159</v>
      </c>
      <c r="B184" s="2" t="str">
        <f>HYPERLINK("https://docket.philalegal.org/cgi-bin/proxy.pl?ct=150301299","150301299")</f>
        <v>150301299</v>
      </c>
      <c r="C184" s="3" t="s">
        <v>1160</v>
      </c>
      <c r="D184" s="3" t="s">
        <v>26</v>
      </c>
      <c r="E184" s="3" t="s">
        <v>1161</v>
      </c>
      <c r="F184" s="3" t="s">
        <v>105</v>
      </c>
      <c r="G184" s="3" t="s">
        <v>1162</v>
      </c>
      <c r="H184" s="3" t="s">
        <v>1163</v>
      </c>
      <c r="I184" s="3" t="s">
        <v>1164</v>
      </c>
      <c r="J184" s="3" t="s">
        <v>1165</v>
      </c>
      <c r="K184" s="3" t="s">
        <v>1166</v>
      </c>
      <c r="L184" t="s">
        <v>22</v>
      </c>
    </row>
    <row r="185" spans="1:12">
      <c r="A185" s="1" t="s">
        <v>1167</v>
      </c>
      <c r="B185" s="2" t="str">
        <f>HYPERLINK("https://docket.philalegal.org/cgi-bin/proxy.pl?ct=150802492","150802492")</f>
        <v>150802492</v>
      </c>
      <c r="C185" s="3" t="s">
        <v>1168</v>
      </c>
      <c r="D185" s="3" t="s">
        <v>26</v>
      </c>
      <c r="E185" s="3" t="s">
        <v>1155</v>
      </c>
      <c r="F185" s="3" t="s">
        <v>17</v>
      </c>
      <c r="G185" s="3" t="s">
        <v>1169</v>
      </c>
      <c r="H185" s="3" t="s">
        <v>1029</v>
      </c>
      <c r="I185" s="3" t="s">
        <v>1023</v>
      </c>
      <c r="J185" s="3">
        <v>152236300</v>
      </c>
      <c r="K185" s="3" t="s">
        <v>1170</v>
      </c>
      <c r="L185" t="s">
        <v>22</v>
      </c>
    </row>
    <row r="186" spans="1:12">
      <c r="A186" s="1" t="s">
        <v>1171</v>
      </c>
      <c r="B186" s="2" t="str">
        <f>HYPERLINK("https://docket.philalegal.org/cgi-bin/proxy.pl?ct=130302106","130302106")</f>
        <v>130302106</v>
      </c>
      <c r="C186" s="3" t="s">
        <v>1172</v>
      </c>
      <c r="D186" s="3" t="s">
        <v>26</v>
      </c>
      <c r="E186" s="3" t="s">
        <v>1155</v>
      </c>
      <c r="F186" s="3" t="s">
        <v>17</v>
      </c>
      <c r="G186" s="3" t="s">
        <v>1173</v>
      </c>
      <c r="H186" s="3"/>
      <c r="I186" s="3" t="s">
        <v>1174</v>
      </c>
      <c r="J186" s="3">
        <v>152234500</v>
      </c>
      <c r="K186" s="3" t="s">
        <v>1175</v>
      </c>
      <c r="L186" t="s">
        <v>22</v>
      </c>
    </row>
    <row r="187" spans="1:12">
      <c r="A187" s="1" t="s">
        <v>1176</v>
      </c>
      <c r="B187" s="2" t="str">
        <f>HYPERLINK("https://docket.philalegal.org/cgi-bin/proxy.pl?ct=190404496","190404496")</f>
        <v>190404496</v>
      </c>
      <c r="C187" s="3" t="s">
        <v>1177</v>
      </c>
      <c r="D187" s="3" t="s">
        <v>26</v>
      </c>
      <c r="E187" s="3" t="s">
        <v>1178</v>
      </c>
      <c r="F187" s="3" t="s">
        <v>17</v>
      </c>
      <c r="G187" s="3" t="s">
        <v>1179</v>
      </c>
      <c r="H187" s="3"/>
      <c r="I187" s="3" t="s">
        <v>1180</v>
      </c>
      <c r="J187" s="3">
        <v>882660700</v>
      </c>
      <c r="K187" s="3" t="s">
        <v>1181</v>
      </c>
      <c r="L187" t="s">
        <v>22</v>
      </c>
    </row>
    <row r="188" spans="1:12">
      <c r="A188" s="1" t="s">
        <v>1182</v>
      </c>
      <c r="B188" s="2" t="str">
        <f>HYPERLINK("https://docket.philalegal.org/cgi-bin/proxy.pl?ct=130800753","130800753")</f>
        <v>130800753</v>
      </c>
      <c r="C188" s="3" t="s">
        <v>1183</v>
      </c>
      <c r="D188" s="3" t="s">
        <v>96</v>
      </c>
      <c r="E188" s="3" t="s">
        <v>1184</v>
      </c>
      <c r="F188" s="3" t="s">
        <v>17</v>
      </c>
      <c r="G188" s="3" t="s">
        <v>1185</v>
      </c>
      <c r="H188" s="3" t="s">
        <v>234</v>
      </c>
      <c r="I188" s="3" t="s">
        <v>1186</v>
      </c>
      <c r="J188" s="3">
        <v>642099300</v>
      </c>
      <c r="K188" s="3" t="s">
        <v>1187</v>
      </c>
      <c r="L188" t="s">
        <v>1188</v>
      </c>
    </row>
    <row r="189" spans="1:12">
      <c r="A189" s="1" t="s">
        <v>1189</v>
      </c>
      <c r="B189" s="2" t="str">
        <f>HYPERLINK("https://docket.philalegal.org/cgi-bin/proxy.pl?ct=150602680","150602680")</f>
        <v>150602680</v>
      </c>
      <c r="C189" s="3" t="s">
        <v>1190</v>
      </c>
      <c r="D189" s="3" t="s">
        <v>189</v>
      </c>
      <c r="E189" s="3" t="s">
        <v>1191</v>
      </c>
      <c r="F189" s="3" t="s">
        <v>105</v>
      </c>
      <c r="G189" s="3" t="s">
        <v>1192</v>
      </c>
      <c r="H189" s="3" t="s">
        <v>234</v>
      </c>
      <c r="I189" s="3" t="s">
        <v>1193</v>
      </c>
      <c r="J189" s="3">
        <v>642139700</v>
      </c>
      <c r="K189" s="3" t="s">
        <v>189</v>
      </c>
      <c r="L189" t="s">
        <v>1188</v>
      </c>
    </row>
    <row r="190" spans="1:12">
      <c r="A190" s="1" t="s">
        <v>1194</v>
      </c>
      <c r="B190" s="2" t="str">
        <f>HYPERLINK("https://docket.philalegal.org/cgi-bin/proxy.pl?ct=170504523","170504523")</f>
        <v>170504523</v>
      </c>
      <c r="C190" s="3" t="s">
        <v>1195</v>
      </c>
      <c r="D190" s="3" t="s">
        <v>26</v>
      </c>
      <c r="E190" s="3" t="s">
        <v>1196</v>
      </c>
      <c r="F190" s="3" t="s">
        <v>105</v>
      </c>
      <c r="G190" s="3" t="s">
        <v>1197</v>
      </c>
      <c r="H190" s="3"/>
      <c r="I190" s="3" t="s">
        <v>1198</v>
      </c>
      <c r="J190" s="3">
        <v>372289901</v>
      </c>
      <c r="K190" s="3" t="s">
        <v>1199</v>
      </c>
      <c r="L190" t="s">
        <v>22</v>
      </c>
    </row>
    <row r="191" spans="1:12">
      <c r="A191" s="1" t="s">
        <v>1200</v>
      </c>
      <c r="B191" s="2" t="str">
        <f>HYPERLINK("https://docket.philalegal.org/cgi-bin/proxy.pl?ct=160300084","160300084")</f>
        <v>160300084</v>
      </c>
      <c r="C191" s="3" t="s">
        <v>1201</v>
      </c>
      <c r="D191" s="3" t="s">
        <v>26</v>
      </c>
      <c r="E191" s="3" t="s">
        <v>1202</v>
      </c>
      <c r="F191" s="3" t="s">
        <v>105</v>
      </c>
      <c r="G191" s="3" t="s">
        <v>1203</v>
      </c>
      <c r="H191" s="3" t="s">
        <v>1204</v>
      </c>
      <c r="I191" s="3" t="s">
        <v>1205</v>
      </c>
      <c r="J191" s="3">
        <v>462135400</v>
      </c>
      <c r="K191" s="3" t="s">
        <v>1206</v>
      </c>
      <c r="L191" t="s">
        <v>203</v>
      </c>
    </row>
    <row r="192" spans="1:12">
      <c r="A192" s="1" t="s">
        <v>1207</v>
      </c>
      <c r="B192" s="2" t="str">
        <f>HYPERLINK("https://docket.philalegal.org/cgi-bin/proxy.pl?ct=160300091","160300091")</f>
        <v>160300091</v>
      </c>
      <c r="C192" s="3" t="s">
        <v>1208</v>
      </c>
      <c r="D192" s="3" t="s">
        <v>26</v>
      </c>
      <c r="E192" s="3" t="s">
        <v>1202</v>
      </c>
      <c r="F192" s="3" t="s">
        <v>105</v>
      </c>
      <c r="G192" s="3" t="s">
        <v>1209</v>
      </c>
      <c r="H192" s="3" t="s">
        <v>1210</v>
      </c>
      <c r="I192" s="3" t="s">
        <v>1211</v>
      </c>
      <c r="J192" s="3">
        <v>462055600</v>
      </c>
      <c r="K192" s="3" t="s">
        <v>1212</v>
      </c>
      <c r="L192" t="s">
        <v>209</v>
      </c>
    </row>
    <row r="193" spans="1:12">
      <c r="A193" s="1" t="s">
        <v>1213</v>
      </c>
      <c r="B193" s="2" t="str">
        <f>HYPERLINK("https://docket.philalegal.org/cgi-bin/proxy.pl?ct=170102187","170102187")</f>
        <v>170102187</v>
      </c>
      <c r="C193" s="3" t="s">
        <v>1214</v>
      </c>
      <c r="D193" s="3" t="s">
        <v>96</v>
      </c>
      <c r="E193" s="3" t="s">
        <v>1202</v>
      </c>
      <c r="F193" s="3" t="s">
        <v>105</v>
      </c>
      <c r="G193" s="3" t="s">
        <v>1215</v>
      </c>
      <c r="H193" s="3"/>
      <c r="I193" s="3" t="s">
        <v>1216</v>
      </c>
      <c r="J193" s="3">
        <v>601012400</v>
      </c>
      <c r="K193" s="3" t="s">
        <v>1217</v>
      </c>
      <c r="L193" t="s">
        <v>203</v>
      </c>
    </row>
    <row r="194" spans="1:12">
      <c r="A194" s="1" t="s">
        <v>1218</v>
      </c>
      <c r="B194" s="2" t="str">
        <f>HYPERLINK("https://docket.philalegal.org/cgi-bin/proxy.pl?ct=221200489","221200489")</f>
        <v>221200489</v>
      </c>
      <c r="C194" s="3" t="s">
        <v>1219</v>
      </c>
      <c r="D194" s="3" t="s">
        <v>61</v>
      </c>
      <c r="E194" s="3" t="s">
        <v>1220</v>
      </c>
      <c r="F194" s="3" t="s">
        <v>463</v>
      </c>
      <c r="G194" s="3" t="s">
        <v>1221</v>
      </c>
      <c r="H194" s="3"/>
      <c r="I194" s="3" t="s">
        <v>1222</v>
      </c>
      <c r="J194" s="3">
        <v>591156500</v>
      </c>
      <c r="K194" s="3" t="s">
        <v>1223</v>
      </c>
      <c r="L194" t="s">
        <v>46</v>
      </c>
    </row>
    <row r="195" spans="1:12">
      <c r="A195" s="1" t="s">
        <v>1224</v>
      </c>
      <c r="B195" s="2" t="str">
        <f>HYPERLINK("https://docket.philalegal.org/cgi-bin/proxy.pl?ct=161004676","161004676")</f>
        <v>161004676</v>
      </c>
      <c r="C195" s="3" t="s">
        <v>1225</v>
      </c>
      <c r="D195" s="3" t="s">
        <v>15</v>
      </c>
      <c r="E195" s="3" t="s">
        <v>1226</v>
      </c>
      <c r="F195" s="3" t="s">
        <v>456</v>
      </c>
      <c r="G195" s="3" t="s">
        <v>1227</v>
      </c>
      <c r="H195" s="3"/>
      <c r="I195" s="3" t="s">
        <v>1228</v>
      </c>
      <c r="J195" s="3">
        <v>222113700</v>
      </c>
      <c r="K195" s="3" t="s">
        <v>1229</v>
      </c>
      <c r="L195" t="s">
        <v>209</v>
      </c>
    </row>
    <row r="196" spans="1:12">
      <c r="A196" s="1" t="s">
        <v>1230</v>
      </c>
      <c r="B196" s="2" t="str">
        <f>HYPERLINK("https://docket.philalegal.org/cgi-bin/proxy.pl?ct=170104339","170104339")</f>
        <v>170104339</v>
      </c>
      <c r="C196" s="3" t="s">
        <v>1231</v>
      </c>
      <c r="D196" s="3" t="s">
        <v>96</v>
      </c>
      <c r="E196" s="3" t="s">
        <v>1226</v>
      </c>
      <c r="F196" s="3" t="s">
        <v>975</v>
      </c>
      <c r="G196" s="3" t="s">
        <v>1232</v>
      </c>
      <c r="H196" s="3" t="s">
        <v>1233</v>
      </c>
      <c r="I196" s="3" t="s">
        <v>1234</v>
      </c>
      <c r="J196" s="3">
        <v>123221300</v>
      </c>
      <c r="K196" s="3" t="s">
        <v>1235</v>
      </c>
      <c r="L196" t="s">
        <v>1236</v>
      </c>
    </row>
    <row r="197" spans="1:12">
      <c r="A197" s="1" t="s">
        <v>1237</v>
      </c>
      <c r="B197" s="2" t="str">
        <f>HYPERLINK("https://docket.philalegal.org/cgi-bin/proxy.pl?ct=170503155","170503155")</f>
        <v>170503155</v>
      </c>
      <c r="C197" s="3" t="s">
        <v>1238</v>
      </c>
      <c r="D197" s="3" t="s">
        <v>15</v>
      </c>
      <c r="E197" s="3" t="s">
        <v>1226</v>
      </c>
      <c r="F197" s="3" t="s">
        <v>975</v>
      </c>
      <c r="G197" s="3" t="s">
        <v>1239</v>
      </c>
      <c r="H197" s="3" t="s">
        <v>829</v>
      </c>
      <c r="I197" s="3" t="s">
        <v>1240</v>
      </c>
      <c r="J197" s="3" t="s">
        <v>1241</v>
      </c>
      <c r="K197" s="3" t="s">
        <v>1242</v>
      </c>
      <c r="L197" t="s">
        <v>1236</v>
      </c>
    </row>
    <row r="198" spans="1:12">
      <c r="A198" s="1" t="s">
        <v>1243</v>
      </c>
      <c r="B198" s="2" t="str">
        <f>HYPERLINK("https://docket.philalegal.org/cgi-bin/proxy.pl?ct=160800996","160800996")</f>
        <v>160800996</v>
      </c>
      <c r="C198" s="3" t="s">
        <v>1244</v>
      </c>
      <c r="D198" s="3" t="s">
        <v>96</v>
      </c>
      <c r="E198" s="3" t="s">
        <v>1226</v>
      </c>
      <c r="F198" s="3" t="s">
        <v>975</v>
      </c>
      <c r="G198" s="3" t="s">
        <v>1245</v>
      </c>
      <c r="H198" s="3" t="s">
        <v>1246</v>
      </c>
      <c r="I198" s="3" t="s">
        <v>1247</v>
      </c>
      <c r="J198" s="3">
        <v>884460320</v>
      </c>
      <c r="K198" s="3" t="s">
        <v>1248</v>
      </c>
      <c r="L198" t="s">
        <v>1236</v>
      </c>
    </row>
    <row r="199" spans="1:12">
      <c r="A199" s="1" t="s">
        <v>1249</v>
      </c>
      <c r="B199" s="2" t="str">
        <f>HYPERLINK("https://docket.philalegal.org/cgi-bin/proxy.pl?ct=160801008","160801008")</f>
        <v>160801008</v>
      </c>
      <c r="C199" s="3" t="s">
        <v>1250</v>
      </c>
      <c r="D199" s="3" t="s">
        <v>189</v>
      </c>
      <c r="E199" s="3" t="s">
        <v>1226</v>
      </c>
      <c r="F199" s="3" t="s">
        <v>1251</v>
      </c>
      <c r="G199" s="3" t="s">
        <v>1252</v>
      </c>
      <c r="H199" s="3"/>
      <c r="I199" s="3" t="s">
        <v>1253</v>
      </c>
      <c r="J199" s="3">
        <v>221196300</v>
      </c>
      <c r="K199" s="3" t="s">
        <v>1254</v>
      </c>
      <c r="L199" t="s">
        <v>1255</v>
      </c>
    </row>
    <row r="200" spans="1:12">
      <c r="A200" s="1" t="s">
        <v>1256</v>
      </c>
      <c r="B200" s="2" t="str">
        <f>HYPERLINK("https://docket.philalegal.org/cgi-bin/proxy.pl?ct=170104343","170104343")</f>
        <v>170104343</v>
      </c>
      <c r="C200" s="3" t="s">
        <v>1257</v>
      </c>
      <c r="D200" s="3" t="s">
        <v>15</v>
      </c>
      <c r="E200" s="3" t="s">
        <v>1226</v>
      </c>
      <c r="F200" s="3" t="s">
        <v>1258</v>
      </c>
      <c r="G200" s="3" t="s">
        <v>1259</v>
      </c>
      <c r="H200" s="3" t="s">
        <v>89</v>
      </c>
      <c r="I200" s="3" t="s">
        <v>1260</v>
      </c>
      <c r="J200" s="3">
        <v>884350995</v>
      </c>
      <c r="K200" s="3" t="s">
        <v>1229</v>
      </c>
      <c r="L200" t="s">
        <v>209</v>
      </c>
    </row>
    <row r="201" spans="1:12">
      <c r="A201" s="1" t="s">
        <v>1261</v>
      </c>
      <c r="B201" s="2" t="str">
        <f>HYPERLINK("https://docket.philalegal.org/cgi-bin/proxy.pl?ct=170104340","170104340")</f>
        <v>170104340</v>
      </c>
      <c r="C201" s="3" t="s">
        <v>1262</v>
      </c>
      <c r="D201" s="3" t="s">
        <v>189</v>
      </c>
      <c r="E201" s="3" t="s">
        <v>1226</v>
      </c>
      <c r="F201" s="3" t="s">
        <v>1263</v>
      </c>
      <c r="G201" s="3" t="s">
        <v>1264</v>
      </c>
      <c r="H201" s="3"/>
      <c r="I201" s="3" t="s">
        <v>1265</v>
      </c>
      <c r="J201" s="3">
        <v>123221200</v>
      </c>
      <c r="K201" s="3" t="s">
        <v>1266</v>
      </c>
      <c r="L201" t="s">
        <v>1236</v>
      </c>
    </row>
    <row r="202" spans="1:12">
      <c r="A202" s="1" t="s">
        <v>1267</v>
      </c>
      <c r="B202" s="2" t="str">
        <f>HYPERLINK("https://docket.philalegal.org/cgi-bin/proxy.pl?ct=160801015","160801015")</f>
        <v>160801015</v>
      </c>
      <c r="C202" s="3" t="s">
        <v>1268</v>
      </c>
      <c r="D202" s="3" t="s">
        <v>96</v>
      </c>
      <c r="E202" s="3" t="s">
        <v>1226</v>
      </c>
      <c r="F202" s="3" t="s">
        <v>975</v>
      </c>
      <c r="G202" s="3" t="s">
        <v>1269</v>
      </c>
      <c r="H202" s="3" t="s">
        <v>1270</v>
      </c>
      <c r="I202" s="3" t="s">
        <v>1271</v>
      </c>
      <c r="J202" s="3">
        <v>223020700</v>
      </c>
      <c r="K202" s="3" t="s">
        <v>1272</v>
      </c>
      <c r="L202" t="s">
        <v>980</v>
      </c>
    </row>
    <row r="203" spans="1:12">
      <c r="A203" s="1" t="s">
        <v>1273</v>
      </c>
      <c r="B203" s="2" t="str">
        <f>HYPERLINK("https://docket.philalegal.org/cgi-bin/proxy.pl?ct=161004685","161004685")</f>
        <v>161004685</v>
      </c>
      <c r="C203" s="3" t="s">
        <v>1274</v>
      </c>
      <c r="D203" s="3" t="s">
        <v>96</v>
      </c>
      <c r="E203" s="3" t="s">
        <v>1226</v>
      </c>
      <c r="F203" s="3" t="s">
        <v>946</v>
      </c>
      <c r="G203" s="3" t="s">
        <v>1275</v>
      </c>
      <c r="H203" s="3" t="s">
        <v>1276</v>
      </c>
      <c r="I203" s="3" t="s">
        <v>1277</v>
      </c>
      <c r="J203" s="3" t="s">
        <v>1278</v>
      </c>
      <c r="K203" s="3" t="s">
        <v>1279</v>
      </c>
      <c r="L203" t="s">
        <v>1280</v>
      </c>
    </row>
    <row r="204" spans="1:12">
      <c r="A204" s="1" t="s">
        <v>1281</v>
      </c>
      <c r="B204" s="2" t="str">
        <f>HYPERLINK("https://docket.philalegal.org/cgi-bin/proxy.pl?ct=130502207","130502207")</f>
        <v>130502207</v>
      </c>
      <c r="C204" s="3" t="s">
        <v>1282</v>
      </c>
      <c r="D204" s="3" t="s">
        <v>96</v>
      </c>
      <c r="E204" s="3" t="s">
        <v>1283</v>
      </c>
      <c r="F204" s="3" t="s">
        <v>1284</v>
      </c>
      <c r="G204" s="3" t="s">
        <v>1285</v>
      </c>
      <c r="H204" s="3" t="s">
        <v>1286</v>
      </c>
      <c r="I204" s="3" t="s">
        <v>1287</v>
      </c>
      <c r="J204" s="3">
        <v>222001300</v>
      </c>
      <c r="K204" s="3" t="s">
        <v>1288</v>
      </c>
      <c r="L204" t="s">
        <v>1289</v>
      </c>
    </row>
    <row r="205" spans="1:12">
      <c r="A205" s="1" t="s">
        <v>1290</v>
      </c>
      <c r="B205" s="2" t="str">
        <f>HYPERLINK("https://docket.philalegal.org/cgi-bin/proxy.pl?ct=140202744","140202744")</f>
        <v>140202744</v>
      </c>
      <c r="C205" s="3" t="s">
        <v>1291</v>
      </c>
      <c r="D205" s="3" t="s">
        <v>26</v>
      </c>
      <c r="E205" s="3" t="s">
        <v>1283</v>
      </c>
      <c r="F205" s="3" t="s">
        <v>1284</v>
      </c>
      <c r="G205" s="3" t="s">
        <v>1292</v>
      </c>
      <c r="H205" s="3" t="s">
        <v>1293</v>
      </c>
      <c r="I205" s="3" t="s">
        <v>1294</v>
      </c>
      <c r="J205" s="3">
        <v>221210500</v>
      </c>
      <c r="K205" s="3" t="s">
        <v>1295</v>
      </c>
      <c r="L205" t="s">
        <v>22</v>
      </c>
    </row>
    <row r="206" spans="1:12">
      <c r="A206" s="1" t="s">
        <v>1296</v>
      </c>
      <c r="B206" s="2" t="str">
        <f>HYPERLINK("https://docket.philalegal.org/cgi-bin/proxy.pl?ct=141203548","141203548")</f>
        <v>141203548</v>
      </c>
      <c r="C206" s="3" t="s">
        <v>1297</v>
      </c>
      <c r="D206" s="3" t="s">
        <v>1298</v>
      </c>
      <c r="E206" s="3" t="s">
        <v>1299</v>
      </c>
      <c r="F206" s="3" t="s">
        <v>17</v>
      </c>
      <c r="G206" s="3" t="s">
        <v>1300</v>
      </c>
      <c r="H206" s="3" t="s">
        <v>1301</v>
      </c>
      <c r="I206" s="3" t="s">
        <v>1302</v>
      </c>
      <c r="J206" s="3">
        <v>404355700</v>
      </c>
      <c r="K206" s="3" t="s">
        <v>1303</v>
      </c>
      <c r="L206" t="s">
        <v>1304</v>
      </c>
    </row>
    <row r="207" spans="1:12">
      <c r="A207" s="1" t="s">
        <v>1305</v>
      </c>
      <c r="B207" s="2" t="str">
        <f>HYPERLINK("https://docket.philalegal.org/cgi-bin/proxy.pl?ct=200300039","200300039")</f>
        <v>200300039</v>
      </c>
      <c r="C207" s="3" t="s">
        <v>1306</v>
      </c>
      <c r="D207" s="3" t="s">
        <v>15</v>
      </c>
      <c r="E207" s="3" t="s">
        <v>1307</v>
      </c>
      <c r="F207" s="3" t="s">
        <v>1308</v>
      </c>
      <c r="G207" s="3" t="s">
        <v>1309</v>
      </c>
      <c r="H207" s="3"/>
      <c r="I207" s="3" t="s">
        <v>1310</v>
      </c>
      <c r="J207" s="3">
        <v>291062400</v>
      </c>
      <c r="K207" s="3" t="s">
        <v>1311</v>
      </c>
      <c r="L207" t="s">
        <v>22</v>
      </c>
    </row>
    <row r="208" spans="1:12">
      <c r="A208" s="1" t="s">
        <v>1312</v>
      </c>
      <c r="B208" s="2" t="str">
        <f>HYPERLINK("https://docket.philalegal.org/cgi-bin/proxy.pl?ct=100103293","100103293")</f>
        <v>100103293</v>
      </c>
      <c r="C208" s="3" t="s">
        <v>1313</v>
      </c>
      <c r="D208" s="3" t="s">
        <v>15</v>
      </c>
      <c r="E208" s="3" t="s">
        <v>1314</v>
      </c>
      <c r="F208" s="3" t="s">
        <v>1315</v>
      </c>
      <c r="G208" s="3" t="s">
        <v>1316</v>
      </c>
      <c r="H208" s="3"/>
      <c r="I208" s="3" t="s">
        <v>1317</v>
      </c>
      <c r="J208" s="3">
        <v>882924855</v>
      </c>
      <c r="K208" s="3" t="s">
        <v>1318</v>
      </c>
      <c r="L208" t="s">
        <v>22</v>
      </c>
    </row>
    <row r="209" spans="1:12">
      <c r="A209" s="1" t="s">
        <v>1319</v>
      </c>
      <c r="B209" s="2" t="str">
        <f>HYPERLINK("https://docket.philalegal.org/cgi-bin/proxy.pl?ct=180303179","180303179")</f>
        <v>180303179</v>
      </c>
      <c r="C209" s="3" t="s">
        <v>1320</v>
      </c>
      <c r="D209" s="3" t="s">
        <v>96</v>
      </c>
      <c r="E209" s="3" t="s">
        <v>1321</v>
      </c>
      <c r="F209" s="3" t="s">
        <v>762</v>
      </c>
      <c r="G209" s="3" t="s">
        <v>1322</v>
      </c>
      <c r="H209" s="3" t="s">
        <v>1323</v>
      </c>
      <c r="I209" s="3" t="s">
        <v>1324</v>
      </c>
      <c r="J209" s="3">
        <v>292241610</v>
      </c>
      <c r="K209" s="3" t="s">
        <v>1325</v>
      </c>
      <c r="L209" t="s">
        <v>203</v>
      </c>
    </row>
    <row r="210" spans="1:12">
      <c r="A210" s="1" t="s">
        <v>1326</v>
      </c>
      <c r="B210" s="2" t="str">
        <f>HYPERLINK("https://docket.philalegal.org/cgi-bin/proxy.pl?ct=210800574","210800574")</f>
        <v>210800574</v>
      </c>
      <c r="C210" s="3" t="s">
        <v>1327</v>
      </c>
      <c r="D210" s="3" t="s">
        <v>26</v>
      </c>
      <c r="E210" s="3" t="s">
        <v>1321</v>
      </c>
      <c r="F210" s="3" t="s">
        <v>470</v>
      </c>
      <c r="G210" s="3" t="s">
        <v>1328</v>
      </c>
      <c r="H210" s="3" t="s">
        <v>1329</v>
      </c>
      <c r="I210" s="3" t="s">
        <v>1330</v>
      </c>
      <c r="J210" s="3">
        <v>881711300</v>
      </c>
      <c r="K210" s="3" t="s">
        <v>1331</v>
      </c>
      <c r="L210" t="s">
        <v>22</v>
      </c>
    </row>
    <row r="211" spans="1:12">
      <c r="A211" s="1" t="s">
        <v>1332</v>
      </c>
      <c r="B211" s="2" t="str">
        <f>HYPERLINK("https://docket.philalegal.org/cgi-bin/proxy.pl?ct=180302748","180302748")</f>
        <v>180302748</v>
      </c>
      <c r="C211" s="3" t="s">
        <v>1333</v>
      </c>
      <c r="D211" s="3" t="s">
        <v>96</v>
      </c>
      <c r="E211" s="3" t="s">
        <v>1321</v>
      </c>
      <c r="F211" s="3" t="s">
        <v>1334</v>
      </c>
      <c r="G211" s="3" t="s">
        <v>1335</v>
      </c>
      <c r="H211" s="3" t="s">
        <v>1336</v>
      </c>
      <c r="I211" s="3" t="s">
        <v>1337</v>
      </c>
      <c r="J211" s="3">
        <v>291309800</v>
      </c>
      <c r="K211" s="3" t="s">
        <v>1338</v>
      </c>
      <c r="L211" s="5" t="s">
        <v>1339</v>
      </c>
    </row>
    <row r="212" spans="1:12">
      <c r="A212" s="1" t="s">
        <v>1340</v>
      </c>
      <c r="B212" s="2" t="str">
        <f>HYPERLINK("https://docket.philalegal.org/cgi-bin/proxy.pl?ct=180902606","180902606")</f>
        <v>180902606</v>
      </c>
      <c r="C212" s="3" t="s">
        <v>1341</v>
      </c>
      <c r="D212" s="3" t="s">
        <v>96</v>
      </c>
      <c r="E212" s="3" t="s">
        <v>1321</v>
      </c>
      <c r="F212" s="3" t="s">
        <v>1334</v>
      </c>
      <c r="G212" s="3" t="s">
        <v>1342</v>
      </c>
      <c r="H212" s="3" t="s">
        <v>1343</v>
      </c>
      <c r="I212" s="3" t="s">
        <v>1344</v>
      </c>
      <c r="J212" s="3">
        <v>291094000</v>
      </c>
      <c r="K212" s="3" t="s">
        <v>1345</v>
      </c>
      <c r="L212" t="s">
        <v>1346</v>
      </c>
    </row>
    <row r="213" spans="1:12">
      <c r="A213" s="1" t="s">
        <v>1347</v>
      </c>
      <c r="B213" s="2" t="str">
        <f>HYPERLINK("https://docket.philalegal.org/cgi-bin/proxy.pl?ct=190902133","190902133")</f>
        <v>190902133</v>
      </c>
      <c r="C213" s="3" t="s">
        <v>1348</v>
      </c>
      <c r="D213" s="3" t="s">
        <v>15</v>
      </c>
      <c r="E213" s="3" t="s">
        <v>1321</v>
      </c>
      <c r="F213" s="3" t="s">
        <v>1349</v>
      </c>
      <c r="G213" s="3" t="s">
        <v>1350</v>
      </c>
      <c r="H213" s="3"/>
      <c r="I213" s="3" t="s">
        <v>1351</v>
      </c>
      <c r="J213" s="3">
        <v>462148700</v>
      </c>
      <c r="K213" s="3" t="s">
        <v>1352</v>
      </c>
      <c r="L213" t="s">
        <v>209</v>
      </c>
    </row>
    <row r="214" spans="1:12">
      <c r="A214" s="1" t="s">
        <v>1353</v>
      </c>
      <c r="B214" s="2" t="str">
        <f>HYPERLINK("https://docket.philalegal.org/cgi-bin/proxy.pl?ct=190902143","190902143")</f>
        <v>190902143</v>
      </c>
      <c r="C214" s="3" t="s">
        <v>1354</v>
      </c>
      <c r="D214" s="3" t="s">
        <v>656</v>
      </c>
      <c r="E214" s="3" t="s">
        <v>1321</v>
      </c>
      <c r="F214" s="3" t="s">
        <v>1349</v>
      </c>
      <c r="G214" s="3" t="s">
        <v>1355</v>
      </c>
      <c r="H214" s="3"/>
      <c r="I214" s="3" t="s">
        <v>1356</v>
      </c>
      <c r="J214" s="3">
        <v>292265000</v>
      </c>
      <c r="K214" s="3" t="s">
        <v>1357</v>
      </c>
      <c r="L214" t="s">
        <v>1358</v>
      </c>
    </row>
    <row r="215" spans="1:12">
      <c r="A215" s="1" t="s">
        <v>1359</v>
      </c>
      <c r="B215" s="2" t="str">
        <f>HYPERLINK("https://docket.philalegal.org/cgi-bin/proxy.pl?ct=200101933","200101933")</f>
        <v>200101933</v>
      </c>
      <c r="C215" s="3" t="s">
        <v>1360</v>
      </c>
      <c r="D215" s="3" t="s">
        <v>26</v>
      </c>
      <c r="E215" s="3" t="s">
        <v>1321</v>
      </c>
      <c r="F215" s="3" t="s">
        <v>470</v>
      </c>
      <c r="G215" s="3" t="s">
        <v>1361</v>
      </c>
      <c r="H215" s="3"/>
      <c r="I215" s="3" t="s">
        <v>1362</v>
      </c>
      <c r="J215" s="3">
        <v>202161801</v>
      </c>
      <c r="K215" s="3" t="s">
        <v>1363</v>
      </c>
      <c r="L215" t="s">
        <v>22</v>
      </c>
    </row>
    <row r="216" spans="1:12">
      <c r="A216" s="1" t="s">
        <v>1364</v>
      </c>
      <c r="B216" s="2" t="str">
        <f>HYPERLINK("https://docket.philalegal.org/cgi-bin/proxy.pl?ct=180902611","180902611")</f>
        <v>180902611</v>
      </c>
      <c r="C216" s="3" t="s">
        <v>1365</v>
      </c>
      <c r="D216" s="3" t="s">
        <v>96</v>
      </c>
      <c r="E216" s="3" t="s">
        <v>1321</v>
      </c>
      <c r="F216" s="3" t="s">
        <v>762</v>
      </c>
      <c r="G216" s="3" t="s">
        <v>1366</v>
      </c>
      <c r="H216" s="3" t="s">
        <v>1367</v>
      </c>
      <c r="I216" s="3" t="s">
        <v>1368</v>
      </c>
      <c r="J216" s="3">
        <v>292080300</v>
      </c>
      <c r="K216" s="3" t="s">
        <v>1369</v>
      </c>
      <c r="L216" t="s">
        <v>1188</v>
      </c>
    </row>
    <row r="217" spans="1:12">
      <c r="A217" s="1" t="s">
        <v>1370</v>
      </c>
      <c r="B217" s="2" t="str">
        <f>HYPERLINK("https://docket.philalegal.org/cgi-bin/proxy.pl?ct=210800619","210800619")</f>
        <v>210800619</v>
      </c>
      <c r="C217" s="3" t="s">
        <v>1371</v>
      </c>
      <c r="D217" s="3" t="s">
        <v>96</v>
      </c>
      <c r="E217" s="3" t="s">
        <v>1321</v>
      </c>
      <c r="F217" s="3" t="s">
        <v>253</v>
      </c>
      <c r="G217" s="3" t="s">
        <v>1372</v>
      </c>
      <c r="H217" s="3" t="s">
        <v>524</v>
      </c>
      <c r="I217" s="3" t="s">
        <v>1373</v>
      </c>
      <c r="J217" s="3">
        <v>462047500</v>
      </c>
      <c r="K217" s="3" t="s">
        <v>1374</v>
      </c>
      <c r="L217" t="s">
        <v>195</v>
      </c>
    </row>
    <row r="218" spans="1:12">
      <c r="A218" s="1" t="s">
        <v>1375</v>
      </c>
      <c r="B218" s="2" t="str">
        <f>HYPERLINK("https://docket.philalegal.org/cgi-bin/proxy.pl?ct=200101931","200101931")</f>
        <v>200101931</v>
      </c>
      <c r="C218" s="3" t="s">
        <v>1376</v>
      </c>
      <c r="D218" s="3" t="s">
        <v>26</v>
      </c>
      <c r="E218" s="3" t="s">
        <v>1321</v>
      </c>
      <c r="F218" s="3" t="s">
        <v>470</v>
      </c>
      <c r="G218" s="3" t="s">
        <v>1377</v>
      </c>
      <c r="H218" s="3" t="s">
        <v>1378</v>
      </c>
      <c r="I218" s="3" t="s">
        <v>1379</v>
      </c>
      <c r="J218" s="3">
        <v>202167200</v>
      </c>
      <c r="K218" s="3" t="s">
        <v>1380</v>
      </c>
      <c r="L218" t="s">
        <v>22</v>
      </c>
    </row>
    <row r="219" spans="1:12">
      <c r="A219" s="1" t="s">
        <v>1381</v>
      </c>
      <c r="B219" s="2" t="str">
        <f>HYPERLINK("https://docket.philalegal.org/cgi-bin/proxy.pl?ct=210500687","210500687")</f>
        <v>210500687</v>
      </c>
      <c r="C219" s="3" t="s">
        <v>1382</v>
      </c>
      <c r="D219" s="3" t="s">
        <v>49</v>
      </c>
      <c r="E219" s="3" t="s">
        <v>1321</v>
      </c>
      <c r="F219" s="3" t="s">
        <v>253</v>
      </c>
      <c r="G219" s="3" t="s">
        <v>1383</v>
      </c>
      <c r="H219" s="3"/>
      <c r="I219" s="3" t="s">
        <v>1384</v>
      </c>
      <c r="J219" s="3">
        <v>885126260</v>
      </c>
      <c r="K219" s="3" t="s">
        <v>1385</v>
      </c>
      <c r="L219" t="s">
        <v>980</v>
      </c>
    </row>
    <row r="220" spans="1:12">
      <c r="A220" s="1" t="s">
        <v>1386</v>
      </c>
      <c r="B220" s="2" t="str">
        <f>HYPERLINK("https://docket.philalegal.org/cgi-bin/proxy.pl?ct=200101919","200101919")</f>
        <v>200101919</v>
      </c>
      <c r="C220" s="3" t="s">
        <v>1387</v>
      </c>
      <c r="D220" s="3" t="s">
        <v>26</v>
      </c>
      <c r="E220" s="3" t="s">
        <v>1321</v>
      </c>
      <c r="F220" s="3" t="s">
        <v>470</v>
      </c>
      <c r="G220" s="3" t="s">
        <v>1388</v>
      </c>
      <c r="H220" s="3"/>
      <c r="I220" s="3" t="s">
        <v>1389</v>
      </c>
      <c r="J220" s="3">
        <v>202071800</v>
      </c>
      <c r="K220" s="3" t="s">
        <v>1390</v>
      </c>
      <c r="L220" t="s">
        <v>22</v>
      </c>
    </row>
    <row r="221" spans="1:12">
      <c r="A221" s="1" t="s">
        <v>1391</v>
      </c>
      <c r="B221" s="2" t="str">
        <f>HYPERLINK("https://docket.philalegal.org/cgi-bin/proxy.pl?ct=180700582","180700582")</f>
        <v>180700582</v>
      </c>
      <c r="C221" s="3" t="s">
        <v>1392</v>
      </c>
      <c r="D221" s="3" t="s">
        <v>96</v>
      </c>
      <c r="E221" s="3" t="s">
        <v>1321</v>
      </c>
      <c r="F221" s="3" t="s">
        <v>762</v>
      </c>
      <c r="G221" s="3" t="s">
        <v>1393</v>
      </c>
      <c r="H221" s="3" t="s">
        <v>1367</v>
      </c>
      <c r="I221" s="3" t="s">
        <v>1394</v>
      </c>
      <c r="J221" s="3">
        <v>291322310</v>
      </c>
      <c r="K221" s="3" t="s">
        <v>1395</v>
      </c>
      <c r="L221" t="s">
        <v>1396</v>
      </c>
    </row>
    <row r="222" spans="1:12">
      <c r="A222" s="1" t="s">
        <v>1397</v>
      </c>
      <c r="B222" s="2" t="str">
        <f>HYPERLINK("https://docket.philalegal.org/cgi-bin/proxy.pl?ct=190902141","190902141")</f>
        <v>190902141</v>
      </c>
      <c r="C222" s="3" t="s">
        <v>1398</v>
      </c>
      <c r="D222" s="3" t="s">
        <v>26</v>
      </c>
      <c r="E222" s="3" t="s">
        <v>1321</v>
      </c>
      <c r="F222" s="3" t="s">
        <v>1399</v>
      </c>
      <c r="G222" s="3" t="s">
        <v>1400</v>
      </c>
      <c r="H222" s="3" t="s">
        <v>1401</v>
      </c>
      <c r="I222" s="3" t="s">
        <v>1402</v>
      </c>
      <c r="J222" s="3">
        <v>292262500</v>
      </c>
      <c r="K222" s="3" t="s">
        <v>1403</v>
      </c>
      <c r="L222" t="s">
        <v>22</v>
      </c>
    </row>
    <row r="223" spans="1:12">
      <c r="A223" s="1" t="s">
        <v>1404</v>
      </c>
      <c r="B223" s="2" t="str">
        <f>HYPERLINK("https://docket.philalegal.org/cgi-bin/proxy.pl?ct=180303376","180303376")</f>
        <v>180303376</v>
      </c>
      <c r="C223" s="3" t="s">
        <v>1405</v>
      </c>
      <c r="D223" s="3" t="s">
        <v>96</v>
      </c>
      <c r="E223" s="3" t="s">
        <v>1321</v>
      </c>
      <c r="F223" s="3" t="s">
        <v>762</v>
      </c>
      <c r="G223" s="3" t="s">
        <v>849</v>
      </c>
      <c r="H223" s="3" t="s">
        <v>158</v>
      </c>
      <c r="I223" s="3" t="s">
        <v>1406</v>
      </c>
      <c r="J223" s="3">
        <v>292089200</v>
      </c>
      <c r="K223" s="3" t="s">
        <v>598</v>
      </c>
      <c r="L223" t="s">
        <v>195</v>
      </c>
    </row>
    <row r="224" spans="1:12">
      <c r="A224" s="1" t="s">
        <v>1407</v>
      </c>
      <c r="B224" s="2" t="str">
        <f>HYPERLINK("https://docket.philalegal.org/cgi-bin/proxy.pl?ct=180902610","180902610")</f>
        <v>180902610</v>
      </c>
      <c r="C224" s="3" t="s">
        <v>1408</v>
      </c>
      <c r="D224" s="3" t="s">
        <v>15</v>
      </c>
      <c r="E224" s="3" t="s">
        <v>1321</v>
      </c>
      <c r="F224" s="3" t="s">
        <v>762</v>
      </c>
      <c r="G224" s="3" t="s">
        <v>1409</v>
      </c>
      <c r="H224" s="3" t="s">
        <v>1410</v>
      </c>
      <c r="I224" s="3" t="s">
        <v>1411</v>
      </c>
      <c r="J224" s="3">
        <v>292127800</v>
      </c>
      <c r="K224" s="3" t="s">
        <v>15</v>
      </c>
      <c r="L224" t="s">
        <v>437</v>
      </c>
    </row>
    <row r="225" spans="1:12">
      <c r="A225" s="1" t="s">
        <v>1412</v>
      </c>
      <c r="B225" s="2" t="str">
        <f>HYPERLINK("https://docket.philalegal.org/cgi-bin/proxy.pl?ct=180303041","180303041")</f>
        <v>180303041</v>
      </c>
      <c r="C225" s="3" t="s">
        <v>1413</v>
      </c>
      <c r="D225" s="3" t="s">
        <v>96</v>
      </c>
      <c r="E225" s="3" t="s">
        <v>1321</v>
      </c>
      <c r="F225" s="3" t="s">
        <v>762</v>
      </c>
      <c r="G225" s="3" t="s">
        <v>1414</v>
      </c>
      <c r="H225" s="3"/>
      <c r="I225" s="3" t="s">
        <v>1415</v>
      </c>
      <c r="J225" s="3">
        <v>291371400</v>
      </c>
      <c r="K225" s="3" t="s">
        <v>1416</v>
      </c>
      <c r="L225" t="s">
        <v>203</v>
      </c>
    </row>
    <row r="226" spans="1:12">
      <c r="A226" s="1" t="s">
        <v>1417</v>
      </c>
      <c r="B226" s="2" t="str">
        <f>HYPERLINK("https://docket.philalegal.org/cgi-bin/proxy.pl?ct=200101924","200101924")</f>
        <v>200101924</v>
      </c>
      <c r="C226" s="3" t="s">
        <v>1418</v>
      </c>
      <c r="D226" s="3" t="s">
        <v>26</v>
      </c>
      <c r="E226" s="3" t="s">
        <v>1321</v>
      </c>
      <c r="F226" s="3" t="s">
        <v>470</v>
      </c>
      <c r="G226" s="3" t="s">
        <v>1419</v>
      </c>
      <c r="H226" s="3" t="s">
        <v>1420</v>
      </c>
      <c r="I226" s="3" t="s">
        <v>1421</v>
      </c>
      <c r="J226" s="3">
        <v>202166000</v>
      </c>
      <c r="K226" s="3" t="s">
        <v>1390</v>
      </c>
      <c r="L226" t="s">
        <v>22</v>
      </c>
    </row>
    <row r="227" spans="1:12">
      <c r="A227" s="1" t="s">
        <v>1422</v>
      </c>
      <c r="B227" s="2" t="str">
        <f>HYPERLINK("https://docket.philalegal.org/cgi-bin/proxy.pl?ct=210800577","210800577")</f>
        <v>210800577</v>
      </c>
      <c r="C227" s="3" t="s">
        <v>1423</v>
      </c>
      <c r="D227" s="3" t="s">
        <v>15</v>
      </c>
      <c r="E227" s="3" t="s">
        <v>1321</v>
      </c>
      <c r="F227" s="3" t="s">
        <v>470</v>
      </c>
      <c r="G227" s="3" t="s">
        <v>1424</v>
      </c>
      <c r="H227" s="3"/>
      <c r="I227" s="3" t="s">
        <v>1425</v>
      </c>
      <c r="J227" s="3">
        <v>462037400</v>
      </c>
      <c r="K227" s="3" t="s">
        <v>1426</v>
      </c>
      <c r="L227" t="s">
        <v>209</v>
      </c>
    </row>
    <row r="228" spans="1:12">
      <c r="A228" s="1" t="s">
        <v>1427</v>
      </c>
      <c r="B228" s="2" t="str">
        <f>HYPERLINK("https://docket.philalegal.org/cgi-bin/proxy.pl?ct=210800581","210800581")</f>
        <v>210800581</v>
      </c>
      <c r="C228" s="3" t="s">
        <v>1428</v>
      </c>
      <c r="D228" s="3" t="s">
        <v>26</v>
      </c>
      <c r="E228" s="3" t="s">
        <v>1321</v>
      </c>
      <c r="F228" s="3" t="s">
        <v>470</v>
      </c>
      <c r="G228" s="3" t="s">
        <v>1429</v>
      </c>
      <c r="H228" s="3" t="s">
        <v>1430</v>
      </c>
      <c r="I228" s="3" t="s">
        <v>1431</v>
      </c>
      <c r="J228" s="3">
        <v>511101100</v>
      </c>
      <c r="K228" s="3" t="s">
        <v>1432</v>
      </c>
      <c r="L228" t="s">
        <v>22</v>
      </c>
    </row>
    <row r="229" spans="1:12">
      <c r="A229" s="1" t="s">
        <v>1433</v>
      </c>
      <c r="B229" s="2" t="str">
        <f>HYPERLINK("https://docket.philalegal.org/cgi-bin/proxy.pl?ct=180100835","180100835")</f>
        <v>180100835</v>
      </c>
      <c r="C229" s="3" t="s">
        <v>1434</v>
      </c>
      <c r="D229" s="3" t="s">
        <v>26</v>
      </c>
      <c r="E229" s="3" t="s">
        <v>1435</v>
      </c>
      <c r="F229" s="3" t="s">
        <v>645</v>
      </c>
      <c r="G229" s="3" t="s">
        <v>1436</v>
      </c>
      <c r="H229" s="3"/>
      <c r="I229" s="3" t="s">
        <v>1437</v>
      </c>
      <c r="J229" s="3">
        <v>364227800</v>
      </c>
      <c r="K229" s="3" t="s">
        <v>1438</v>
      </c>
      <c r="L229" t="s">
        <v>22</v>
      </c>
    </row>
    <row r="230" spans="1:12">
      <c r="A230" s="1" t="s">
        <v>1439</v>
      </c>
      <c r="B230" s="2" t="str">
        <f>HYPERLINK("https://docket.philalegal.org/cgi-bin/proxy.pl?ct=100403834","100403834")</f>
        <v>100403834</v>
      </c>
      <c r="C230" s="3" t="s">
        <v>1440</v>
      </c>
      <c r="D230" s="3" t="s">
        <v>96</v>
      </c>
      <c r="E230" s="3" t="s">
        <v>1441</v>
      </c>
      <c r="F230" s="3" t="s">
        <v>17</v>
      </c>
      <c r="G230" s="3" t="s">
        <v>1442</v>
      </c>
      <c r="H230" s="3"/>
      <c r="I230" s="3" t="s">
        <v>1443</v>
      </c>
      <c r="J230" s="3">
        <v>771729000</v>
      </c>
      <c r="K230" s="3" t="s">
        <v>1444</v>
      </c>
      <c r="L230" t="s">
        <v>22</v>
      </c>
    </row>
    <row r="231" spans="1:12">
      <c r="A231" s="1" t="s">
        <v>1445</v>
      </c>
      <c r="B231" s="2" t="str">
        <f>HYPERLINK("https://docket.philalegal.org/cgi-bin/proxy.pl?ct=120301137","120301137")</f>
        <v>120301137</v>
      </c>
      <c r="C231" s="3" t="s">
        <v>1446</v>
      </c>
      <c r="D231" s="3" t="s">
        <v>189</v>
      </c>
      <c r="E231" s="3" t="s">
        <v>1447</v>
      </c>
      <c r="F231" s="3" t="s">
        <v>17</v>
      </c>
      <c r="G231" s="3" t="s">
        <v>1448</v>
      </c>
      <c r="H231" s="3" t="s">
        <v>1449</v>
      </c>
      <c r="I231" s="3" t="s">
        <v>1450</v>
      </c>
      <c r="J231" s="3" t="s">
        <v>1451</v>
      </c>
      <c r="K231" s="3" t="s">
        <v>1452</v>
      </c>
      <c r="L231" t="s">
        <v>203</v>
      </c>
    </row>
    <row r="232" spans="1:12">
      <c r="A232" s="1" t="s">
        <v>1453</v>
      </c>
      <c r="B232" s="2" t="str">
        <f>HYPERLINK("https://docket.philalegal.org/cgi-bin/proxy.pl?ct=101200990","101200990")</f>
        <v>101200990</v>
      </c>
      <c r="C232" s="3" t="s">
        <v>1454</v>
      </c>
      <c r="D232" s="3" t="s">
        <v>96</v>
      </c>
      <c r="E232" s="3" t="s">
        <v>1441</v>
      </c>
      <c r="F232" s="3" t="s">
        <v>17</v>
      </c>
      <c r="G232" s="3" t="s">
        <v>1455</v>
      </c>
      <c r="H232" s="3"/>
      <c r="I232" s="3" t="s">
        <v>1456</v>
      </c>
      <c r="J232" s="3" t="s">
        <v>1457</v>
      </c>
      <c r="K232" s="3" t="s">
        <v>1444</v>
      </c>
      <c r="L232" t="s">
        <v>22</v>
      </c>
    </row>
    <row r="233" spans="1:12">
      <c r="A233" s="1" t="s">
        <v>1458</v>
      </c>
      <c r="B233" s="2" t="str">
        <f>HYPERLINK("https://docket.philalegal.org/cgi-bin/proxy.pl?ct=210800047","210800047")</f>
        <v>210800047</v>
      </c>
      <c r="C233" s="3" t="s">
        <v>1459</v>
      </c>
      <c r="D233" s="3" t="s">
        <v>49</v>
      </c>
      <c r="E233" s="3" t="s">
        <v>1460</v>
      </c>
      <c r="F233" s="3" t="s">
        <v>158</v>
      </c>
      <c r="G233" s="3" t="s">
        <v>1461</v>
      </c>
      <c r="H233" s="3"/>
      <c r="I233" s="3" t="s">
        <v>1462</v>
      </c>
      <c r="J233" s="3">
        <v>461120700</v>
      </c>
      <c r="K233" s="3" t="s">
        <v>1463</v>
      </c>
      <c r="L233" t="s">
        <v>1464</v>
      </c>
    </row>
    <row r="234" spans="1:12">
      <c r="A234" s="1" t="s">
        <v>1465</v>
      </c>
      <c r="B234" s="2" t="str">
        <f>HYPERLINK("https://docket.philalegal.org/cgi-bin/proxy.pl?ct=150803725","150803725")</f>
        <v>150803725</v>
      </c>
      <c r="C234" s="3" t="s">
        <v>1466</v>
      </c>
      <c r="D234" s="3" t="s">
        <v>26</v>
      </c>
      <c r="E234" s="3" t="s">
        <v>1467</v>
      </c>
      <c r="F234" s="3" t="s">
        <v>17</v>
      </c>
      <c r="G234" s="3" t="s">
        <v>1468</v>
      </c>
      <c r="H234" s="3" t="s">
        <v>1469</v>
      </c>
      <c r="I234" s="3" t="s">
        <v>1470</v>
      </c>
      <c r="J234" s="3" t="s">
        <v>1471</v>
      </c>
      <c r="K234" s="3" t="s">
        <v>1472</v>
      </c>
      <c r="L234" t="s">
        <v>22</v>
      </c>
    </row>
    <row r="235" spans="1:12">
      <c r="A235" s="1" t="s">
        <v>1473</v>
      </c>
      <c r="B235" s="2" t="str">
        <f>HYPERLINK("https://docket.philalegal.org/cgi-bin/proxy.pl?ct=210401701","210401701")</f>
        <v>210401701</v>
      </c>
      <c r="C235" s="3" t="s">
        <v>1474</v>
      </c>
      <c r="D235" s="3" t="s">
        <v>26</v>
      </c>
      <c r="E235" s="3" t="s">
        <v>1475</v>
      </c>
      <c r="F235" s="3" t="s">
        <v>383</v>
      </c>
      <c r="G235" s="3" t="s">
        <v>1476</v>
      </c>
      <c r="H235" s="3" t="s">
        <v>17</v>
      </c>
      <c r="I235" s="3" t="s">
        <v>1477</v>
      </c>
      <c r="J235" s="3" t="s">
        <v>1478</v>
      </c>
      <c r="K235" s="3" t="s">
        <v>1479</v>
      </c>
      <c r="L235" t="s">
        <v>22</v>
      </c>
    </row>
    <row r="236" spans="1:12">
      <c r="A236" s="1" t="s">
        <v>1480</v>
      </c>
      <c r="B236" s="2" t="str">
        <f>HYPERLINK("https://docket.philalegal.org/cgi-bin/proxy.pl?ct=210501060","210501060")</f>
        <v>210501060</v>
      </c>
      <c r="C236" s="3" t="s">
        <v>1474</v>
      </c>
      <c r="D236" s="3" t="s">
        <v>96</v>
      </c>
      <c r="E236" s="3" t="s">
        <v>1475</v>
      </c>
      <c r="F236" s="3" t="s">
        <v>369</v>
      </c>
      <c r="G236" s="3" t="s">
        <v>1481</v>
      </c>
      <c r="H236" s="3" t="s">
        <v>1482</v>
      </c>
      <c r="I236" s="3" t="s">
        <v>390</v>
      </c>
      <c r="J236" s="3">
        <v>777504900</v>
      </c>
      <c r="K236" s="3" t="s">
        <v>1040</v>
      </c>
      <c r="L236" t="s">
        <v>203</v>
      </c>
    </row>
    <row r="237" spans="1:12">
      <c r="A237" s="1" t="s">
        <v>1483</v>
      </c>
      <c r="B237" s="2" t="str">
        <f>HYPERLINK("https://docket.philalegal.org/cgi-bin/proxy.pl?ct=210501149","210501149")</f>
        <v>210501149</v>
      </c>
      <c r="C237" s="3" t="s">
        <v>1474</v>
      </c>
      <c r="D237" s="3" t="s">
        <v>26</v>
      </c>
      <c r="E237" s="3" t="s">
        <v>1475</v>
      </c>
      <c r="F237" s="3" t="s">
        <v>383</v>
      </c>
      <c r="G237" s="3" t="s">
        <v>1484</v>
      </c>
      <c r="H237" s="3" t="s">
        <v>17</v>
      </c>
      <c r="I237" s="3" t="s">
        <v>1485</v>
      </c>
      <c r="J237" s="3">
        <v>884465155</v>
      </c>
      <c r="K237" s="3" t="s">
        <v>1486</v>
      </c>
      <c r="L237" t="s">
        <v>22</v>
      </c>
    </row>
    <row r="238" spans="1:12">
      <c r="A238" s="1" t="s">
        <v>1487</v>
      </c>
      <c r="B238" s="2" t="str">
        <f>HYPERLINK("https://docket.philalegal.org/cgi-bin/proxy.pl?ct=211001070","211001070")</f>
        <v>211001070</v>
      </c>
      <c r="C238" s="3" t="s">
        <v>1474</v>
      </c>
      <c r="D238" s="3" t="s">
        <v>705</v>
      </c>
      <c r="E238" s="3" t="s">
        <v>1475</v>
      </c>
      <c r="F238" s="3" t="s">
        <v>357</v>
      </c>
      <c r="G238" s="3" t="s">
        <v>1488</v>
      </c>
      <c r="H238" s="3" t="s">
        <v>17</v>
      </c>
      <c r="I238" s="3" t="s">
        <v>1489</v>
      </c>
      <c r="J238" s="3">
        <v>124031700</v>
      </c>
      <c r="K238" s="3" t="s">
        <v>1490</v>
      </c>
      <c r="L238" t="s">
        <v>1346</v>
      </c>
    </row>
    <row r="239" spans="1:12">
      <c r="A239" s="1" t="s">
        <v>1491</v>
      </c>
      <c r="B239" s="2" t="str">
        <f>HYPERLINK("https://docket.philalegal.org/cgi-bin/proxy.pl?ct=211101394","211101394")</f>
        <v>211101394</v>
      </c>
      <c r="C239" s="3" t="s">
        <v>1474</v>
      </c>
      <c r="D239" s="3" t="s">
        <v>61</v>
      </c>
      <c r="E239" s="3" t="s">
        <v>1475</v>
      </c>
      <c r="F239" s="3" t="s">
        <v>357</v>
      </c>
      <c r="G239" s="3" t="s">
        <v>1492</v>
      </c>
      <c r="H239" s="3" t="s">
        <v>1493</v>
      </c>
      <c r="I239" s="3" t="s">
        <v>1494</v>
      </c>
      <c r="J239" s="3">
        <v>322003701</v>
      </c>
      <c r="K239" s="3" t="s">
        <v>1495</v>
      </c>
      <c r="L239" t="s">
        <v>1496</v>
      </c>
    </row>
    <row r="240" spans="1:12">
      <c r="A240" s="1" t="s">
        <v>1497</v>
      </c>
      <c r="B240" s="2" t="str">
        <f>HYPERLINK("https://docket.philalegal.org/cgi-bin/proxy.pl?ct=211101801","211101801")</f>
        <v>211101801</v>
      </c>
      <c r="C240" s="3" t="s">
        <v>1474</v>
      </c>
      <c r="D240" s="3" t="s">
        <v>26</v>
      </c>
      <c r="E240" s="3" t="s">
        <v>1475</v>
      </c>
      <c r="F240" s="3" t="s">
        <v>383</v>
      </c>
      <c r="G240" s="3" t="s">
        <v>1498</v>
      </c>
      <c r="H240" s="3"/>
      <c r="I240" s="3" t="s">
        <v>1499</v>
      </c>
      <c r="J240" s="3">
        <v>593027600</v>
      </c>
      <c r="K240" s="3" t="s">
        <v>1486</v>
      </c>
      <c r="L240" t="s">
        <v>22</v>
      </c>
    </row>
    <row r="241" spans="1:12">
      <c r="A241" s="1" t="s">
        <v>1500</v>
      </c>
      <c r="B241" s="2" t="str">
        <f>HYPERLINK("https://docket.philalegal.org/cgi-bin/proxy.pl?ct=220102276","220102276")</f>
        <v>220102276</v>
      </c>
      <c r="C241" s="3" t="s">
        <v>1474</v>
      </c>
      <c r="D241" s="3" t="s">
        <v>26</v>
      </c>
      <c r="E241" s="3" t="s">
        <v>1475</v>
      </c>
      <c r="F241" s="3" t="s">
        <v>357</v>
      </c>
      <c r="G241" s="3" t="s">
        <v>1081</v>
      </c>
      <c r="H241" s="3" t="s">
        <v>1501</v>
      </c>
      <c r="I241" s="3" t="s">
        <v>1502</v>
      </c>
      <c r="J241" s="3">
        <v>202168301</v>
      </c>
      <c r="K241" s="3" t="s">
        <v>1503</v>
      </c>
      <c r="L241" t="s">
        <v>22</v>
      </c>
    </row>
    <row r="242" spans="1:12">
      <c r="A242" s="1" t="s">
        <v>1504</v>
      </c>
      <c r="B242" s="2" t="str">
        <f>HYPERLINK("https://docket.philalegal.org/cgi-bin/proxy.pl?ct=170701397","170701397")</f>
        <v>170701397</v>
      </c>
      <c r="C242" s="3" t="s">
        <v>1505</v>
      </c>
      <c r="D242" s="3" t="s">
        <v>96</v>
      </c>
      <c r="E242" s="3" t="s">
        <v>1506</v>
      </c>
      <c r="F242" s="3" t="s">
        <v>810</v>
      </c>
      <c r="G242" s="3" t="s">
        <v>1507</v>
      </c>
      <c r="H242" s="3" t="s">
        <v>89</v>
      </c>
      <c r="I242" s="3" t="s">
        <v>1508</v>
      </c>
      <c r="J242" s="3">
        <v>871538140</v>
      </c>
      <c r="K242" s="3" t="s">
        <v>1509</v>
      </c>
      <c r="L242" t="s">
        <v>1510</v>
      </c>
    </row>
    <row r="243" spans="1:12">
      <c r="A243" s="1" t="s">
        <v>1511</v>
      </c>
      <c r="B243" s="2" t="str">
        <f>HYPERLINK("https://docket.philalegal.org/cgi-bin/proxy.pl?ct=170900169","170900169")</f>
        <v>170900169</v>
      </c>
      <c r="C243" s="3" t="s">
        <v>1512</v>
      </c>
      <c r="D243" s="3" t="s">
        <v>26</v>
      </c>
      <c r="E243" s="3" t="s">
        <v>1506</v>
      </c>
      <c r="F243" s="3" t="s">
        <v>810</v>
      </c>
      <c r="G243" s="3" t="s">
        <v>1513</v>
      </c>
      <c r="H243" s="3" t="s">
        <v>579</v>
      </c>
      <c r="I243" s="3" t="s">
        <v>1514</v>
      </c>
      <c r="J243" s="3">
        <v>885247920</v>
      </c>
      <c r="K243" s="3" t="s">
        <v>1515</v>
      </c>
      <c r="L243" t="s">
        <v>22</v>
      </c>
    </row>
    <row r="244" spans="1:12">
      <c r="A244" s="1" t="s">
        <v>1516</v>
      </c>
      <c r="B244" s="2" t="str">
        <f>HYPERLINK("https://docket.philalegal.org/cgi-bin/proxy.pl?ct=170900198","170900198")</f>
        <v>170900198</v>
      </c>
      <c r="C244" s="3" t="s">
        <v>1512</v>
      </c>
      <c r="D244" s="3" t="s">
        <v>26</v>
      </c>
      <c r="E244" s="3" t="s">
        <v>1506</v>
      </c>
      <c r="F244" s="3" t="s">
        <v>810</v>
      </c>
      <c r="G244" s="3" t="s">
        <v>1513</v>
      </c>
      <c r="H244" s="3" t="s">
        <v>579</v>
      </c>
      <c r="I244" s="3" t="s">
        <v>1517</v>
      </c>
      <c r="J244" s="3">
        <v>882017790</v>
      </c>
      <c r="K244" s="3" t="s">
        <v>1515</v>
      </c>
      <c r="L244" t="s">
        <v>22</v>
      </c>
    </row>
    <row r="245" spans="1:12">
      <c r="A245" s="1" t="s">
        <v>1518</v>
      </c>
      <c r="B245" s="2" t="str">
        <f>HYPERLINK("https://docket.philalegal.org/cgi-bin/proxy.pl?ct=170901182","170901182")</f>
        <v>170901182</v>
      </c>
      <c r="C245" s="3" t="s">
        <v>1512</v>
      </c>
      <c r="D245" s="3" t="s">
        <v>26</v>
      </c>
      <c r="E245" s="3" t="s">
        <v>1506</v>
      </c>
      <c r="F245" s="3" t="s">
        <v>810</v>
      </c>
      <c r="G245" s="3" t="s">
        <v>1513</v>
      </c>
      <c r="H245" s="3" t="s">
        <v>579</v>
      </c>
      <c r="I245" s="3" t="s">
        <v>1519</v>
      </c>
      <c r="J245" s="3">
        <v>192065500</v>
      </c>
      <c r="K245" s="3" t="s">
        <v>1515</v>
      </c>
      <c r="L245" t="s">
        <v>22</v>
      </c>
    </row>
    <row r="246" spans="1:12">
      <c r="A246" s="1" t="s">
        <v>1520</v>
      </c>
      <c r="B246" s="2" t="str">
        <f>HYPERLINK("https://docket.philalegal.org/cgi-bin/proxy.pl?ct=161103082","161103082")</f>
        <v>161103082</v>
      </c>
      <c r="C246" s="3" t="s">
        <v>1521</v>
      </c>
      <c r="D246" s="3" t="s">
        <v>26</v>
      </c>
      <c r="E246" s="3" t="s">
        <v>1522</v>
      </c>
      <c r="F246" s="3" t="s">
        <v>383</v>
      </c>
      <c r="G246" s="3" t="s">
        <v>1523</v>
      </c>
      <c r="H246" s="3"/>
      <c r="I246" s="3" t="s">
        <v>1524</v>
      </c>
      <c r="J246" s="3">
        <v>363012500</v>
      </c>
      <c r="K246" s="3" t="s">
        <v>1525</v>
      </c>
      <c r="L246" t="s">
        <v>22</v>
      </c>
    </row>
    <row r="247" spans="1:12">
      <c r="A247" s="1" t="s">
        <v>1526</v>
      </c>
      <c r="B247" s="2" t="str">
        <f>HYPERLINK("https://docket.philalegal.org/cgi-bin/proxy.pl?ct=210802452","210802452")</f>
        <v>210802452</v>
      </c>
      <c r="C247" s="3" t="s">
        <v>1527</v>
      </c>
      <c r="D247" s="3" t="s">
        <v>26</v>
      </c>
      <c r="E247" s="3" t="s">
        <v>1475</v>
      </c>
      <c r="F247" s="3" t="s">
        <v>383</v>
      </c>
      <c r="G247" s="3" t="s">
        <v>1528</v>
      </c>
      <c r="H247" s="3" t="s">
        <v>1529</v>
      </c>
      <c r="I247" s="3" t="s">
        <v>1530</v>
      </c>
      <c r="J247" s="3" t="s">
        <v>1531</v>
      </c>
      <c r="K247" s="3" t="s">
        <v>1532</v>
      </c>
      <c r="L247" t="s">
        <v>22</v>
      </c>
    </row>
    <row r="248" spans="1:12">
      <c r="A248" s="1" t="s">
        <v>1533</v>
      </c>
      <c r="B248" s="2" t="str">
        <f>HYPERLINK("https://docket.philalegal.org/cgi-bin/proxy.pl?ct=170603231","170603231")</f>
        <v>170603231</v>
      </c>
      <c r="C248" s="3" t="s">
        <v>1534</v>
      </c>
      <c r="D248" s="3" t="s">
        <v>96</v>
      </c>
      <c r="E248" s="3" t="s">
        <v>1475</v>
      </c>
      <c r="F248" s="3" t="s">
        <v>158</v>
      </c>
      <c r="G248" s="3" t="s">
        <v>1535</v>
      </c>
      <c r="H248" s="3"/>
      <c r="I248" s="3" t="s">
        <v>1536</v>
      </c>
      <c r="J248" s="3">
        <v>871520830</v>
      </c>
      <c r="K248" s="3" t="s">
        <v>1537</v>
      </c>
      <c r="L248" t="s">
        <v>1188</v>
      </c>
    </row>
    <row r="249" spans="1:12">
      <c r="A249" s="1" t="s">
        <v>1538</v>
      </c>
      <c r="B249" s="2" t="str">
        <f>HYPERLINK("https://docket.philalegal.org/cgi-bin/proxy.pl?ct=171001125","171001125")</f>
        <v>171001125</v>
      </c>
      <c r="C249" s="3" t="s">
        <v>1534</v>
      </c>
      <c r="D249" s="3" t="s">
        <v>26</v>
      </c>
      <c r="E249" s="3" t="s">
        <v>1475</v>
      </c>
      <c r="F249" s="3" t="s">
        <v>383</v>
      </c>
      <c r="G249" s="3" t="s">
        <v>1539</v>
      </c>
      <c r="H249" s="3"/>
      <c r="I249" s="3" t="s">
        <v>1540</v>
      </c>
      <c r="J249" s="3">
        <v>364015000</v>
      </c>
      <c r="K249" s="3" t="s">
        <v>1532</v>
      </c>
      <c r="L249" t="s">
        <v>22</v>
      </c>
    </row>
    <row r="250" spans="1:12">
      <c r="A250" s="1" t="s">
        <v>1541</v>
      </c>
      <c r="B250" s="2" t="str">
        <f>HYPERLINK("https://docket.philalegal.org/cgi-bin/proxy.pl?ct=171101276","171101276")</f>
        <v>171101276</v>
      </c>
      <c r="C250" s="3" t="s">
        <v>1534</v>
      </c>
      <c r="D250" s="3" t="s">
        <v>26</v>
      </c>
      <c r="E250" s="3" t="s">
        <v>1475</v>
      </c>
      <c r="F250" s="3" t="s">
        <v>383</v>
      </c>
      <c r="G250" s="3" t="s">
        <v>1542</v>
      </c>
      <c r="H250" s="3" t="s">
        <v>1543</v>
      </c>
      <c r="I250" s="3" t="s">
        <v>1544</v>
      </c>
      <c r="J250" s="3">
        <v>364015100</v>
      </c>
      <c r="K250" s="3" t="s">
        <v>1532</v>
      </c>
      <c r="L250" t="s">
        <v>22</v>
      </c>
    </row>
    <row r="251" spans="1:12">
      <c r="A251" s="1" t="s">
        <v>1545</v>
      </c>
      <c r="B251" s="2" t="str">
        <f>HYPERLINK("https://docket.philalegal.org/cgi-bin/proxy.pl?ct=171204055","171204055")</f>
        <v>171204055</v>
      </c>
      <c r="C251" s="3" t="s">
        <v>1534</v>
      </c>
      <c r="D251" s="3" t="s">
        <v>96</v>
      </c>
      <c r="E251" s="3" t="s">
        <v>1475</v>
      </c>
      <c r="F251" s="3" t="s">
        <v>383</v>
      </c>
      <c r="G251" s="3" t="s">
        <v>1546</v>
      </c>
      <c r="H251" s="3"/>
      <c r="I251" s="3" t="s">
        <v>1547</v>
      </c>
      <c r="J251" s="3">
        <v>871168500</v>
      </c>
      <c r="K251" s="3" t="s">
        <v>1548</v>
      </c>
      <c r="L251" t="s">
        <v>1549</v>
      </c>
    </row>
    <row r="252" spans="1:12">
      <c r="A252" s="1" t="s">
        <v>1550</v>
      </c>
      <c r="B252" s="2" t="str">
        <f>HYPERLINK("https://docket.philalegal.org/cgi-bin/proxy.pl?ct=190404474","190404474")</f>
        <v>190404474</v>
      </c>
      <c r="C252" s="3" t="s">
        <v>1534</v>
      </c>
      <c r="D252" s="3" t="s">
        <v>26</v>
      </c>
      <c r="E252" s="3" t="s">
        <v>1475</v>
      </c>
      <c r="F252" s="3" t="s">
        <v>383</v>
      </c>
      <c r="G252" s="3" t="s">
        <v>1551</v>
      </c>
      <c r="H252" s="3"/>
      <c r="I252" s="3" t="s">
        <v>1552</v>
      </c>
      <c r="J252" s="3">
        <v>364016400</v>
      </c>
      <c r="K252" s="3" t="s">
        <v>1532</v>
      </c>
      <c r="L252" t="s">
        <v>22</v>
      </c>
    </row>
    <row r="253" spans="1:12">
      <c r="A253" s="1" t="s">
        <v>1553</v>
      </c>
      <c r="B253" s="2" t="str">
        <f>HYPERLINK("https://docket.philalegal.org/cgi-bin/proxy.pl?ct=191102155","191102155")</f>
        <v>191102155</v>
      </c>
      <c r="C253" s="3" t="s">
        <v>1534</v>
      </c>
      <c r="D253" s="3" t="s">
        <v>26</v>
      </c>
      <c r="E253" s="3" t="s">
        <v>1475</v>
      </c>
      <c r="F253" s="3" t="s">
        <v>383</v>
      </c>
      <c r="G253" s="3" t="s">
        <v>1554</v>
      </c>
      <c r="H253" s="3"/>
      <c r="I253" s="3" t="s">
        <v>1555</v>
      </c>
      <c r="J253" s="3">
        <v>313231800</v>
      </c>
      <c r="K253" s="3" t="s">
        <v>1532</v>
      </c>
      <c r="L253" t="s">
        <v>22</v>
      </c>
    </row>
    <row r="254" spans="1:12">
      <c r="A254" s="1" t="s">
        <v>1556</v>
      </c>
      <c r="B254" s="2" t="str">
        <f>HYPERLINK("https://docket.philalegal.org/cgi-bin/proxy.pl?ct=200100434","200100434")</f>
        <v>200100434</v>
      </c>
      <c r="C254" s="3" t="s">
        <v>1534</v>
      </c>
      <c r="D254" s="3" t="s">
        <v>26</v>
      </c>
      <c r="E254" s="3" t="s">
        <v>1475</v>
      </c>
      <c r="F254" s="3" t="s">
        <v>158</v>
      </c>
      <c r="G254" s="3" t="s">
        <v>1081</v>
      </c>
      <c r="H254" s="3" t="s">
        <v>1501</v>
      </c>
      <c r="I254" s="3" t="s">
        <v>1557</v>
      </c>
      <c r="J254" s="3">
        <v>292095910</v>
      </c>
      <c r="K254" s="3" t="s">
        <v>1532</v>
      </c>
      <c r="L254" t="s">
        <v>22</v>
      </c>
    </row>
    <row r="255" spans="1:12">
      <c r="A255" s="1" t="s">
        <v>1558</v>
      </c>
      <c r="B255" s="2" t="str">
        <f>HYPERLINK("https://docket.philalegal.org/cgi-bin/proxy.pl?ct=200301313","200301313")</f>
        <v>200301313</v>
      </c>
      <c r="C255" s="3" t="s">
        <v>1534</v>
      </c>
      <c r="D255" s="3" t="s">
        <v>96</v>
      </c>
      <c r="E255" s="3" t="s">
        <v>1475</v>
      </c>
      <c r="F255" s="3" t="s">
        <v>383</v>
      </c>
      <c r="G255" s="3" t="s">
        <v>1559</v>
      </c>
      <c r="H255" s="3" t="s">
        <v>1560</v>
      </c>
      <c r="I255" s="3" t="s">
        <v>1561</v>
      </c>
      <c r="J255" s="3">
        <v>292293500</v>
      </c>
      <c r="K255" s="3" t="s">
        <v>1562</v>
      </c>
      <c r="L255" t="s">
        <v>1563</v>
      </c>
    </row>
    <row r="256" spans="1:12">
      <c r="A256" s="1" t="s">
        <v>1564</v>
      </c>
      <c r="B256" s="2" t="str">
        <f>HYPERLINK("https://docket.philalegal.org/cgi-bin/proxy.pl?ct=200601116","200601116")</f>
        <v>200601116</v>
      </c>
      <c r="C256" s="3" t="s">
        <v>1534</v>
      </c>
      <c r="D256" s="3" t="s">
        <v>96</v>
      </c>
      <c r="E256" s="3" t="s">
        <v>1475</v>
      </c>
      <c r="F256" s="3" t="s">
        <v>1565</v>
      </c>
      <c r="G256" s="3" t="s">
        <v>1566</v>
      </c>
      <c r="H256" s="3"/>
      <c r="I256" s="3" t="s">
        <v>1567</v>
      </c>
      <c r="J256" s="3">
        <v>292202200</v>
      </c>
      <c r="K256" s="3" t="s">
        <v>1568</v>
      </c>
      <c r="L256" t="s">
        <v>1569</v>
      </c>
    </row>
    <row r="257" spans="1:12">
      <c r="A257" s="1" t="s">
        <v>1570</v>
      </c>
      <c r="B257" s="2" t="str">
        <f>HYPERLINK("https://docket.philalegal.org/cgi-bin/proxy.pl?ct=200802652","200802652")</f>
        <v>200802652</v>
      </c>
      <c r="C257" s="3" t="s">
        <v>1534</v>
      </c>
      <c r="D257" s="3" t="s">
        <v>26</v>
      </c>
      <c r="E257" s="3" t="s">
        <v>1475</v>
      </c>
      <c r="F257" s="3" t="s">
        <v>1571</v>
      </c>
      <c r="G257" s="3" t="s">
        <v>1572</v>
      </c>
      <c r="H257" s="3"/>
      <c r="I257" s="3" t="s">
        <v>1573</v>
      </c>
      <c r="J257" s="3">
        <v>202175000</v>
      </c>
      <c r="K257" s="3" t="s">
        <v>1574</v>
      </c>
      <c r="L257" t="s">
        <v>22</v>
      </c>
    </row>
    <row r="258" spans="1:12">
      <c r="A258" s="1" t="s">
        <v>1575</v>
      </c>
      <c r="B258" s="2" t="str">
        <f>HYPERLINK("https://docket.philalegal.org/cgi-bin/proxy.pl?ct=201102204","201102204")</f>
        <v>201102204</v>
      </c>
      <c r="C258" s="3" t="s">
        <v>1534</v>
      </c>
      <c r="D258" s="3" t="s">
        <v>26</v>
      </c>
      <c r="E258" s="3" t="s">
        <v>1475</v>
      </c>
      <c r="F258" s="3" t="s">
        <v>383</v>
      </c>
      <c r="G258" s="3" t="s">
        <v>1576</v>
      </c>
      <c r="H258" s="3" t="s">
        <v>1577</v>
      </c>
      <c r="I258" s="3" t="s">
        <v>1578</v>
      </c>
      <c r="J258" s="3" t="s">
        <v>1579</v>
      </c>
      <c r="K258" s="3" t="s">
        <v>1532</v>
      </c>
      <c r="L258" t="s">
        <v>22</v>
      </c>
    </row>
    <row r="259" spans="1:12">
      <c r="A259" s="1" t="s">
        <v>1580</v>
      </c>
      <c r="B259" s="2" t="str">
        <f>HYPERLINK("https://docket.philalegal.org/cgi-bin/proxy.pl?ct=210101889","210101889")</f>
        <v>210101889</v>
      </c>
      <c r="C259" s="3" t="s">
        <v>1534</v>
      </c>
      <c r="D259" s="3" t="s">
        <v>96</v>
      </c>
      <c r="E259" s="3" t="s">
        <v>1475</v>
      </c>
      <c r="F259" s="3" t="s">
        <v>1565</v>
      </c>
      <c r="G259" s="3" t="s">
        <v>1581</v>
      </c>
      <c r="H259" s="3" t="s">
        <v>136</v>
      </c>
      <c r="I259" s="3" t="s">
        <v>1582</v>
      </c>
      <c r="J259" s="3">
        <v>363025600</v>
      </c>
      <c r="K259" s="3" t="s">
        <v>1583</v>
      </c>
      <c r="L259" t="s">
        <v>1346</v>
      </c>
    </row>
    <row r="260" spans="1:12">
      <c r="A260" s="1" t="s">
        <v>1584</v>
      </c>
      <c r="B260" s="2" t="str">
        <f>HYPERLINK("https://docket.philalegal.org/cgi-bin/proxy.pl?ct=210300029","210300029")</f>
        <v>210300029</v>
      </c>
      <c r="C260" s="3" t="s">
        <v>1534</v>
      </c>
      <c r="D260" s="3" t="s">
        <v>26</v>
      </c>
      <c r="E260" s="3" t="s">
        <v>1475</v>
      </c>
      <c r="F260" s="3" t="s">
        <v>383</v>
      </c>
      <c r="G260" s="3" t="s">
        <v>1585</v>
      </c>
      <c r="H260" s="3" t="s">
        <v>1586</v>
      </c>
      <c r="I260" s="3" t="s">
        <v>1587</v>
      </c>
      <c r="J260" s="3" t="s">
        <v>1588</v>
      </c>
      <c r="K260" s="3" t="s">
        <v>1532</v>
      </c>
      <c r="L260" t="s">
        <v>22</v>
      </c>
    </row>
    <row r="261" spans="1:12">
      <c r="A261" s="1" t="s">
        <v>1589</v>
      </c>
      <c r="B261" s="2" t="str">
        <f>HYPERLINK("https://docket.philalegal.org/cgi-bin/proxy.pl?ct=210301781","210301781")</f>
        <v>210301781</v>
      </c>
      <c r="C261" s="3" t="s">
        <v>1534</v>
      </c>
      <c r="D261" s="3" t="s">
        <v>96</v>
      </c>
      <c r="E261" s="3" t="s">
        <v>1475</v>
      </c>
      <c r="F261" s="3" t="s">
        <v>383</v>
      </c>
      <c r="G261" s="3" t="s">
        <v>1590</v>
      </c>
      <c r="H261" s="3" t="s">
        <v>1591</v>
      </c>
      <c r="I261" s="3" t="s">
        <v>1592</v>
      </c>
      <c r="J261" s="3">
        <v>362118700</v>
      </c>
      <c r="K261" s="3" t="s">
        <v>1593</v>
      </c>
      <c r="L261" t="s">
        <v>1346</v>
      </c>
    </row>
    <row r="262" spans="1:12">
      <c r="A262" s="1" t="s">
        <v>1594</v>
      </c>
      <c r="B262" s="2" t="str">
        <f>HYPERLINK("https://docket.philalegal.org/cgi-bin/proxy.pl?ct=220600578","220600578")</f>
        <v>220600578</v>
      </c>
      <c r="C262" s="3" t="s">
        <v>1534</v>
      </c>
      <c r="D262" s="3" t="s">
        <v>26</v>
      </c>
      <c r="E262" s="3" t="s">
        <v>1475</v>
      </c>
      <c r="F262" s="3" t="s">
        <v>383</v>
      </c>
      <c r="G262" s="3" t="s">
        <v>1595</v>
      </c>
      <c r="H262" s="3" t="s">
        <v>17</v>
      </c>
      <c r="I262" s="3" t="s">
        <v>1596</v>
      </c>
      <c r="J262" s="3">
        <v>361123300</v>
      </c>
      <c r="K262" s="3" t="s">
        <v>1532</v>
      </c>
      <c r="L262" t="s">
        <v>22</v>
      </c>
    </row>
    <row r="263" spans="1:12">
      <c r="A263" s="1" t="s">
        <v>1597</v>
      </c>
      <c r="B263" s="2" t="str">
        <f>HYPERLINK("https://docket.philalegal.org/cgi-bin/proxy.pl?ct=220801802","220801802")</f>
        <v>220801802</v>
      </c>
      <c r="C263" s="3" t="s">
        <v>1534</v>
      </c>
      <c r="D263" s="3" t="s">
        <v>49</v>
      </c>
      <c r="E263" s="3" t="s">
        <v>1475</v>
      </c>
      <c r="F263" s="3" t="s">
        <v>383</v>
      </c>
      <c r="G263" s="3" t="s">
        <v>1598</v>
      </c>
      <c r="H263" s="3" t="s">
        <v>762</v>
      </c>
      <c r="I263" s="3" t="s">
        <v>1599</v>
      </c>
      <c r="J263" s="3">
        <v>341109500</v>
      </c>
      <c r="K263" s="3" t="s">
        <v>598</v>
      </c>
      <c r="L263" t="s">
        <v>1600</v>
      </c>
    </row>
    <row r="264" spans="1:12">
      <c r="A264" s="1" t="s">
        <v>1601</v>
      </c>
      <c r="B264" s="2" t="str">
        <f>HYPERLINK("https://docket.philalegal.org/cgi-bin/proxy.pl?ct=190502028","190502028")</f>
        <v>190502028</v>
      </c>
      <c r="C264" s="3" t="s">
        <v>1602</v>
      </c>
      <c r="D264" s="3" t="s">
        <v>26</v>
      </c>
      <c r="E264" s="3" t="s">
        <v>1475</v>
      </c>
      <c r="F264" s="3" t="s">
        <v>383</v>
      </c>
      <c r="G264" s="3" t="s">
        <v>1603</v>
      </c>
      <c r="H264" s="3" t="s">
        <v>1604</v>
      </c>
      <c r="I264" s="3" t="s">
        <v>1605</v>
      </c>
      <c r="J264" s="3">
        <v>365265900</v>
      </c>
      <c r="K264" s="3" t="s">
        <v>1532</v>
      </c>
      <c r="L264" t="s">
        <v>22</v>
      </c>
    </row>
    <row r="265" spans="1:12">
      <c r="A265" s="1" t="s">
        <v>1606</v>
      </c>
      <c r="B265" s="2" t="str">
        <f>HYPERLINK("https://docket.philalegal.org/cgi-bin/proxy.pl?ct=160602196","160602196")</f>
        <v>160602196</v>
      </c>
      <c r="C265" s="3" t="s">
        <v>1607</v>
      </c>
      <c r="D265" s="3" t="s">
        <v>96</v>
      </c>
      <c r="E265" s="3" t="s">
        <v>1522</v>
      </c>
      <c r="F265" s="3" t="s">
        <v>1608</v>
      </c>
      <c r="G265" s="3" t="s">
        <v>1609</v>
      </c>
      <c r="H265" s="3" t="s">
        <v>225</v>
      </c>
      <c r="I265" s="3" t="s">
        <v>1610</v>
      </c>
      <c r="J265" s="3">
        <v>364013800</v>
      </c>
      <c r="K265" s="3" t="s">
        <v>1611</v>
      </c>
      <c r="L265" t="s">
        <v>1346</v>
      </c>
    </row>
    <row r="266" spans="1:12">
      <c r="A266" s="1" t="s">
        <v>1612</v>
      </c>
      <c r="B266" s="2" t="str">
        <f>HYPERLINK("https://docket.philalegal.org/cgi-bin/proxy.pl?ct=220301900","220301900")</f>
        <v>220301900</v>
      </c>
      <c r="C266" s="3" t="s">
        <v>1613</v>
      </c>
      <c r="D266" s="3" t="s">
        <v>1614</v>
      </c>
      <c r="E266" s="3" t="s">
        <v>1522</v>
      </c>
      <c r="F266" s="3" t="s">
        <v>383</v>
      </c>
      <c r="G266" s="3" t="s">
        <v>1615</v>
      </c>
      <c r="H266" s="3" t="s">
        <v>1616</v>
      </c>
      <c r="I266" s="3" t="s">
        <v>1617</v>
      </c>
      <c r="J266" s="3">
        <v>882968910</v>
      </c>
      <c r="K266" s="3" t="s">
        <v>1618</v>
      </c>
      <c r="L266" t="s">
        <v>195</v>
      </c>
    </row>
    <row r="267" spans="1:12">
      <c r="A267" s="1" t="s">
        <v>1619</v>
      </c>
      <c r="B267" s="2" t="str">
        <f>HYPERLINK("https://docket.philalegal.org/cgi-bin/proxy.pl?ct=220400258","220400258")</f>
        <v>220400258</v>
      </c>
      <c r="C267" s="3" t="s">
        <v>1620</v>
      </c>
      <c r="D267" s="3" t="s">
        <v>41</v>
      </c>
      <c r="E267" s="3" t="s">
        <v>1522</v>
      </c>
      <c r="F267" s="3" t="s">
        <v>383</v>
      </c>
      <c r="G267" s="3" t="s">
        <v>1621</v>
      </c>
      <c r="H267" s="3"/>
      <c r="I267" s="3" t="s">
        <v>1622</v>
      </c>
      <c r="J267" s="3">
        <v>322219800</v>
      </c>
      <c r="K267" s="3" t="s">
        <v>1623</v>
      </c>
      <c r="L267" t="s">
        <v>46</v>
      </c>
    </row>
    <row r="268" spans="1:12">
      <c r="A268" s="1" t="s">
        <v>1624</v>
      </c>
      <c r="B268" s="2" t="str">
        <f>HYPERLINK("https://docket.philalegal.org/cgi-bin/proxy.pl?ct=170202517","170202517")</f>
        <v>170202517</v>
      </c>
      <c r="C268" s="3" t="s">
        <v>1625</v>
      </c>
      <c r="D268" s="3" t="s">
        <v>26</v>
      </c>
      <c r="E268" s="3" t="s">
        <v>1522</v>
      </c>
      <c r="F268" s="3" t="s">
        <v>383</v>
      </c>
      <c r="G268" s="3" t="s">
        <v>1626</v>
      </c>
      <c r="H268" s="3"/>
      <c r="I268" s="3" t="s">
        <v>1627</v>
      </c>
      <c r="J268" s="3">
        <v>311144100</v>
      </c>
      <c r="K268" s="3" t="s">
        <v>1525</v>
      </c>
      <c r="L268" t="s">
        <v>22</v>
      </c>
    </row>
    <row r="269" spans="1:12">
      <c r="A269" s="1" t="s">
        <v>1628</v>
      </c>
      <c r="B269" s="2" t="str">
        <f>HYPERLINK("https://docket.philalegal.org/cgi-bin/proxy.pl?ct=160700606","160700606")</f>
        <v>160700606</v>
      </c>
      <c r="C269" s="3" t="s">
        <v>1629</v>
      </c>
      <c r="D269" s="3" t="s">
        <v>96</v>
      </c>
      <c r="E269" s="3" t="s">
        <v>1522</v>
      </c>
      <c r="F269" s="3" t="s">
        <v>158</v>
      </c>
      <c r="G269" s="3" t="s">
        <v>1630</v>
      </c>
      <c r="H269" s="3"/>
      <c r="I269" s="3" t="s">
        <v>1631</v>
      </c>
      <c r="J269" s="3">
        <v>871548050</v>
      </c>
      <c r="K269" s="3" t="s">
        <v>1632</v>
      </c>
      <c r="L269" t="s">
        <v>195</v>
      </c>
    </row>
    <row r="270" spans="1:12">
      <c r="A270" s="1" t="s">
        <v>1633</v>
      </c>
      <c r="B270" s="2" t="str">
        <f>HYPERLINK("https://docket.philalegal.org/cgi-bin/proxy.pl?ct=161101851","161101851")</f>
        <v>161101851</v>
      </c>
      <c r="C270" s="3" t="s">
        <v>1634</v>
      </c>
      <c r="D270" s="3" t="s">
        <v>96</v>
      </c>
      <c r="E270" s="3" t="s">
        <v>1522</v>
      </c>
      <c r="F270" s="3" t="s">
        <v>383</v>
      </c>
      <c r="G270" s="3" t="s">
        <v>1635</v>
      </c>
      <c r="H270" s="3"/>
      <c r="I270" s="3" t="s">
        <v>1636</v>
      </c>
      <c r="J270" s="3">
        <v>471080900</v>
      </c>
      <c r="K270" s="3" t="s">
        <v>1637</v>
      </c>
      <c r="L270" t="s">
        <v>1549</v>
      </c>
    </row>
    <row r="271" spans="1:12">
      <c r="A271" s="1" t="s">
        <v>1638</v>
      </c>
      <c r="B271" s="2" t="str">
        <f>HYPERLINK("https://docket.philalegal.org/cgi-bin/proxy.pl?ct=220500071","220500071")</f>
        <v>220500071</v>
      </c>
      <c r="C271" s="3" t="s">
        <v>1639</v>
      </c>
      <c r="D271" s="3" t="s">
        <v>705</v>
      </c>
      <c r="E271" s="3" t="s">
        <v>1522</v>
      </c>
      <c r="F271" s="3" t="s">
        <v>383</v>
      </c>
      <c r="G271" s="3" t="s">
        <v>1640</v>
      </c>
      <c r="H271" s="3" t="s">
        <v>225</v>
      </c>
      <c r="I271" s="3" t="s">
        <v>1641</v>
      </c>
      <c r="J271" s="3">
        <v>361318100</v>
      </c>
      <c r="K271" s="3" t="s">
        <v>1642</v>
      </c>
      <c r="L271" t="s">
        <v>1643</v>
      </c>
    </row>
    <row r="272" spans="1:12">
      <c r="A272" s="1" t="s">
        <v>1644</v>
      </c>
      <c r="B272" s="2" t="str">
        <f>HYPERLINK("https://docket.philalegal.org/cgi-bin/proxy.pl?ct=161001517","161001517")</f>
        <v>161001517</v>
      </c>
      <c r="C272" s="3" t="s">
        <v>1645</v>
      </c>
      <c r="D272" s="3" t="s">
        <v>26</v>
      </c>
      <c r="E272" s="3" t="s">
        <v>1522</v>
      </c>
      <c r="F272" s="3" t="s">
        <v>158</v>
      </c>
      <c r="G272" s="3" t="s">
        <v>416</v>
      </c>
      <c r="H272" s="3"/>
      <c r="I272" s="3" t="s">
        <v>1646</v>
      </c>
      <c r="J272" s="3">
        <v>363020700</v>
      </c>
      <c r="K272" s="3" t="s">
        <v>1525</v>
      </c>
      <c r="L272" t="s">
        <v>22</v>
      </c>
    </row>
    <row r="273" spans="1:12">
      <c r="A273" s="1" t="s">
        <v>1647</v>
      </c>
      <c r="B273" s="2" t="str">
        <f>HYPERLINK("https://docket.philalegal.org/cgi-bin/proxy.pl?ct=160802531","160802531")</f>
        <v>160802531</v>
      </c>
      <c r="C273" s="3" t="s">
        <v>1648</v>
      </c>
      <c r="D273" s="3" t="s">
        <v>261</v>
      </c>
      <c r="E273" s="3" t="s">
        <v>1522</v>
      </c>
      <c r="F273" s="3" t="s">
        <v>1649</v>
      </c>
      <c r="G273" s="3" t="s">
        <v>1650</v>
      </c>
      <c r="H273" s="3" t="s">
        <v>1651</v>
      </c>
      <c r="I273" s="3" t="s">
        <v>1652</v>
      </c>
      <c r="J273" s="3">
        <v>151021800</v>
      </c>
      <c r="K273" s="3" t="s">
        <v>1653</v>
      </c>
      <c r="L273" t="s">
        <v>1346</v>
      </c>
    </row>
    <row r="274" spans="1:12">
      <c r="A274" s="1" t="s">
        <v>1654</v>
      </c>
      <c r="B274" s="2" t="str">
        <f>HYPERLINK("https://docket.philalegal.org/cgi-bin/proxy.pl?ct=160800279","160800279")</f>
        <v>160800279</v>
      </c>
      <c r="C274" s="3" t="s">
        <v>1655</v>
      </c>
      <c r="D274" s="3" t="s">
        <v>96</v>
      </c>
      <c r="E274" s="3" t="s">
        <v>1522</v>
      </c>
      <c r="F274" s="3" t="s">
        <v>1649</v>
      </c>
      <c r="G274" s="3" t="s">
        <v>1656</v>
      </c>
      <c r="H274" s="3"/>
      <c r="I274" s="3" t="s">
        <v>1657</v>
      </c>
      <c r="J274" s="3">
        <v>471075900</v>
      </c>
      <c r="K274" s="3" t="s">
        <v>1658</v>
      </c>
      <c r="L274" t="s">
        <v>203</v>
      </c>
    </row>
    <row r="275" spans="1:12">
      <c r="A275" s="1" t="s">
        <v>1659</v>
      </c>
      <c r="B275" s="2" t="str">
        <f>HYPERLINK("https://docket.philalegal.org/cgi-bin/proxy.pl?ct=160701385","160701385")</f>
        <v>160701385</v>
      </c>
      <c r="C275" s="3" t="s">
        <v>1660</v>
      </c>
      <c r="D275" s="3" t="s">
        <v>26</v>
      </c>
      <c r="E275" s="3" t="s">
        <v>1522</v>
      </c>
      <c r="F275" s="3" t="s">
        <v>1661</v>
      </c>
      <c r="G275" s="3" t="s">
        <v>1662</v>
      </c>
      <c r="H275" s="3"/>
      <c r="I275" s="3" t="s">
        <v>1544</v>
      </c>
      <c r="J275" s="3">
        <v>364015100</v>
      </c>
      <c r="K275" s="3" t="s">
        <v>1525</v>
      </c>
      <c r="L275" t="s">
        <v>22</v>
      </c>
    </row>
    <row r="276" spans="1:12">
      <c r="A276" s="1" t="s">
        <v>1663</v>
      </c>
      <c r="B276" s="2" t="str">
        <f>HYPERLINK("https://docket.philalegal.org/cgi-bin/proxy.pl?ct=160800533","160800533")</f>
        <v>160800533</v>
      </c>
      <c r="C276" s="3" t="s">
        <v>1664</v>
      </c>
      <c r="D276" s="3" t="s">
        <v>26</v>
      </c>
      <c r="E276" s="3" t="s">
        <v>1522</v>
      </c>
      <c r="F276" s="3" t="s">
        <v>1665</v>
      </c>
      <c r="G276" s="3" t="s">
        <v>1666</v>
      </c>
      <c r="H276" s="3"/>
      <c r="I276" s="3" t="s">
        <v>1667</v>
      </c>
      <c r="J276" s="3">
        <v>471065400</v>
      </c>
      <c r="K276" s="3" t="s">
        <v>1668</v>
      </c>
      <c r="L276" t="s">
        <v>22</v>
      </c>
    </row>
    <row r="277" spans="1:12">
      <c r="A277" s="1" t="s">
        <v>1669</v>
      </c>
      <c r="B277" s="2" t="str">
        <f>HYPERLINK("https://docket.philalegal.org/cgi-bin/proxy.pl?ct=160501673","160501673")</f>
        <v>160501673</v>
      </c>
      <c r="C277" s="3" t="s">
        <v>1670</v>
      </c>
      <c r="D277" s="3" t="s">
        <v>26</v>
      </c>
      <c r="E277" s="3" t="s">
        <v>1522</v>
      </c>
      <c r="F277" s="3" t="s">
        <v>158</v>
      </c>
      <c r="G277" s="3" t="s">
        <v>1671</v>
      </c>
      <c r="H277" s="3"/>
      <c r="I277" s="3" t="s">
        <v>1672</v>
      </c>
      <c r="J277" s="3">
        <v>364013900</v>
      </c>
      <c r="K277" s="3" t="s">
        <v>1525</v>
      </c>
      <c r="L277" t="s">
        <v>22</v>
      </c>
    </row>
    <row r="278" spans="1:12">
      <c r="A278" s="1" t="s">
        <v>1673</v>
      </c>
      <c r="B278" s="2" t="str">
        <f>HYPERLINK("https://docket.philalegal.org/cgi-bin/proxy.pl?ct=180202470","180202470")</f>
        <v>180202470</v>
      </c>
      <c r="C278" s="3" t="s">
        <v>1674</v>
      </c>
      <c r="D278" s="3" t="s">
        <v>96</v>
      </c>
      <c r="E278" s="3" t="s">
        <v>1475</v>
      </c>
      <c r="F278" s="3" t="s">
        <v>158</v>
      </c>
      <c r="G278" s="3" t="s">
        <v>1675</v>
      </c>
      <c r="H278" s="3" t="s">
        <v>1676</v>
      </c>
      <c r="I278" s="3" t="s">
        <v>1677</v>
      </c>
      <c r="J278" s="3">
        <v>313103700</v>
      </c>
      <c r="K278" s="3" t="s">
        <v>1678</v>
      </c>
      <c r="L278" t="s">
        <v>1280</v>
      </c>
    </row>
    <row r="279" spans="1:12">
      <c r="A279" s="1" t="s">
        <v>1679</v>
      </c>
      <c r="B279" s="2" t="str">
        <f>HYPERLINK("https://docket.philalegal.org/cgi-bin/proxy.pl?ct=180402096","180402096")</f>
        <v>180402096</v>
      </c>
      <c r="C279" s="3" t="s">
        <v>1674</v>
      </c>
      <c r="D279" s="3" t="s">
        <v>26</v>
      </c>
      <c r="E279" s="3" t="s">
        <v>1475</v>
      </c>
      <c r="F279" s="3" t="s">
        <v>363</v>
      </c>
      <c r="G279" s="3" t="s">
        <v>1680</v>
      </c>
      <c r="H279" s="3"/>
      <c r="I279" s="3" t="s">
        <v>1681</v>
      </c>
      <c r="J279" s="3">
        <v>291066800</v>
      </c>
      <c r="K279" s="3" t="s">
        <v>1532</v>
      </c>
      <c r="L279" t="s">
        <v>22</v>
      </c>
    </row>
    <row r="280" spans="1:12">
      <c r="A280" s="1" t="s">
        <v>1682</v>
      </c>
      <c r="B280" s="2" t="str">
        <f>HYPERLINK("https://docket.philalegal.org/cgi-bin/proxy.pl?ct=180403209","180403209")</f>
        <v>180403209</v>
      </c>
      <c r="C280" s="3" t="s">
        <v>1674</v>
      </c>
      <c r="D280" s="3" t="s">
        <v>96</v>
      </c>
      <c r="E280" s="3" t="s">
        <v>1475</v>
      </c>
      <c r="F280" s="3" t="s">
        <v>1683</v>
      </c>
      <c r="G280" s="3" t="s">
        <v>1684</v>
      </c>
      <c r="H280" s="3" t="s">
        <v>1685</v>
      </c>
      <c r="I280" s="3" t="s">
        <v>311</v>
      </c>
      <c r="J280" s="3">
        <v>152273200</v>
      </c>
      <c r="K280" s="3" t="s">
        <v>1686</v>
      </c>
      <c r="L280" t="s">
        <v>1346</v>
      </c>
    </row>
    <row r="281" spans="1:12">
      <c r="A281" s="1" t="s">
        <v>1687</v>
      </c>
      <c r="B281" s="2" t="str">
        <f>HYPERLINK("https://docket.philalegal.org/cgi-bin/proxy.pl?ct=180500037","180500037")</f>
        <v>180500037</v>
      </c>
      <c r="C281" s="3" t="s">
        <v>1674</v>
      </c>
      <c r="D281" s="3" t="s">
        <v>261</v>
      </c>
      <c r="E281" s="3" t="s">
        <v>1475</v>
      </c>
      <c r="F281" s="3" t="s">
        <v>363</v>
      </c>
      <c r="G281" s="3" t="s">
        <v>1688</v>
      </c>
      <c r="H281" s="3" t="s">
        <v>1689</v>
      </c>
      <c r="I281" s="3" t="s">
        <v>1690</v>
      </c>
      <c r="J281" s="3">
        <v>471084010</v>
      </c>
      <c r="K281" s="3" t="s">
        <v>1691</v>
      </c>
      <c r="L281" t="s">
        <v>1346</v>
      </c>
    </row>
    <row r="282" spans="1:12">
      <c r="A282" s="1" t="s">
        <v>1692</v>
      </c>
      <c r="B282" s="2" t="str">
        <f>HYPERLINK("https://docket.philalegal.org/cgi-bin/proxy.pl?ct=180601603","180601603")</f>
        <v>180601603</v>
      </c>
      <c r="C282" s="3" t="s">
        <v>1674</v>
      </c>
      <c r="D282" s="3" t="s">
        <v>96</v>
      </c>
      <c r="E282" s="3" t="s">
        <v>1475</v>
      </c>
      <c r="F282" s="3" t="s">
        <v>363</v>
      </c>
      <c r="G282" s="3" t="s">
        <v>1693</v>
      </c>
      <c r="H282" s="3"/>
      <c r="I282" s="3" t="s">
        <v>1694</v>
      </c>
      <c r="J282" s="3">
        <v>291047800</v>
      </c>
      <c r="K282" s="3" t="s">
        <v>1695</v>
      </c>
      <c r="L282" t="s">
        <v>1188</v>
      </c>
    </row>
    <row r="283" spans="1:12">
      <c r="A283" s="1" t="s">
        <v>1696</v>
      </c>
      <c r="B283" s="2" t="str">
        <f>HYPERLINK("https://docket.philalegal.org/cgi-bin/proxy.pl?ct=180701972","180701972")</f>
        <v>180701972</v>
      </c>
      <c r="C283" s="3" t="s">
        <v>1674</v>
      </c>
      <c r="D283" s="3" t="s">
        <v>26</v>
      </c>
      <c r="E283" s="3" t="s">
        <v>1475</v>
      </c>
      <c r="F283" s="3" t="s">
        <v>1697</v>
      </c>
      <c r="G283" s="3" t="s">
        <v>1698</v>
      </c>
      <c r="H283" s="3" t="s">
        <v>633</v>
      </c>
      <c r="I283" s="3" t="s">
        <v>1699</v>
      </c>
      <c r="J283" s="3">
        <v>593079100</v>
      </c>
      <c r="K283" s="3" t="s">
        <v>1532</v>
      </c>
      <c r="L283" t="s">
        <v>22</v>
      </c>
    </row>
    <row r="284" spans="1:12">
      <c r="A284" s="1" t="s">
        <v>1700</v>
      </c>
      <c r="B284" s="2" t="str">
        <f>HYPERLINK("https://docket.philalegal.org/cgi-bin/proxy.pl?ct=180901266","180901266")</f>
        <v>180901266</v>
      </c>
      <c r="C284" s="3" t="s">
        <v>1674</v>
      </c>
      <c r="D284" s="3" t="s">
        <v>96</v>
      </c>
      <c r="E284" s="3" t="s">
        <v>1475</v>
      </c>
      <c r="F284" s="3" t="s">
        <v>363</v>
      </c>
      <c r="G284" s="3" t="s">
        <v>1701</v>
      </c>
      <c r="H284" s="3" t="s">
        <v>1702</v>
      </c>
      <c r="I284" s="3" t="s">
        <v>1703</v>
      </c>
      <c r="J284" s="3">
        <v>291306010</v>
      </c>
      <c r="K284" s="3" t="s">
        <v>1704</v>
      </c>
      <c r="L284" t="s">
        <v>1705</v>
      </c>
    </row>
    <row r="285" spans="1:12">
      <c r="A285" s="1" t="s">
        <v>1706</v>
      </c>
      <c r="B285" s="2" t="str">
        <f>HYPERLINK("https://docket.philalegal.org/cgi-bin/proxy.pl?ct=181001785","181001785")</f>
        <v>181001785</v>
      </c>
      <c r="C285" s="3" t="s">
        <v>1674</v>
      </c>
      <c r="D285" s="3" t="s">
        <v>15</v>
      </c>
      <c r="E285" s="3" t="s">
        <v>1475</v>
      </c>
      <c r="F285" s="3" t="s">
        <v>363</v>
      </c>
      <c r="G285" s="3" t="s">
        <v>1707</v>
      </c>
      <c r="H285" s="3"/>
      <c r="I285" s="3" t="s">
        <v>1708</v>
      </c>
      <c r="J285" s="3">
        <v>291305900</v>
      </c>
      <c r="K285" s="3" t="s">
        <v>1709</v>
      </c>
      <c r="L285" t="s">
        <v>209</v>
      </c>
    </row>
    <row r="286" spans="1:12">
      <c r="A286" s="1" t="s">
        <v>1710</v>
      </c>
      <c r="B286" s="2" t="str">
        <f>HYPERLINK("https://docket.philalegal.org/cgi-bin/proxy.pl?ct=190501634","190501634")</f>
        <v>190501634</v>
      </c>
      <c r="C286" s="3" t="s">
        <v>1674</v>
      </c>
      <c r="D286" s="3" t="s">
        <v>180</v>
      </c>
      <c r="E286" s="3" t="s">
        <v>1475</v>
      </c>
      <c r="F286" s="3" t="s">
        <v>383</v>
      </c>
      <c r="G286" s="3" t="s">
        <v>1711</v>
      </c>
      <c r="H286" s="3"/>
      <c r="I286" s="3" t="s">
        <v>1712</v>
      </c>
      <c r="J286" s="3">
        <v>291125500</v>
      </c>
      <c r="K286" s="3" t="s">
        <v>1713</v>
      </c>
      <c r="L286" t="s">
        <v>22</v>
      </c>
    </row>
    <row r="287" spans="1:12">
      <c r="A287" s="1" t="s">
        <v>1714</v>
      </c>
      <c r="B287" s="2" t="str">
        <f>HYPERLINK("https://docket.philalegal.org/cgi-bin/proxy.pl?ct=190700259","190700259")</f>
        <v>190700259</v>
      </c>
      <c r="C287" s="3" t="s">
        <v>1674</v>
      </c>
      <c r="D287" s="3" t="s">
        <v>26</v>
      </c>
      <c r="E287" s="3" t="s">
        <v>1475</v>
      </c>
      <c r="F287" s="3" t="s">
        <v>158</v>
      </c>
      <c r="G287" s="3" t="s">
        <v>1715</v>
      </c>
      <c r="H287" s="3"/>
      <c r="I287" s="3" t="s">
        <v>1716</v>
      </c>
      <c r="J287" s="3">
        <v>323193800</v>
      </c>
      <c r="K287" s="3" t="s">
        <v>1717</v>
      </c>
      <c r="L287" t="s">
        <v>22</v>
      </c>
    </row>
    <row r="288" spans="1:12">
      <c r="A288" s="1" t="s">
        <v>1718</v>
      </c>
      <c r="B288" s="2" t="str">
        <f>HYPERLINK("https://docket.philalegal.org/cgi-bin/proxy.pl?ct=190700260","190700260")</f>
        <v>190700260</v>
      </c>
      <c r="C288" s="3" t="s">
        <v>1674</v>
      </c>
      <c r="D288" s="3" t="s">
        <v>15</v>
      </c>
      <c r="E288" s="3" t="s">
        <v>1475</v>
      </c>
      <c r="F288" s="3" t="s">
        <v>158</v>
      </c>
      <c r="G288" s="3" t="s">
        <v>1715</v>
      </c>
      <c r="H288" s="3"/>
      <c r="I288" s="3" t="s">
        <v>1719</v>
      </c>
      <c r="J288" s="3">
        <v>323194200</v>
      </c>
      <c r="K288" s="3" t="s">
        <v>1720</v>
      </c>
      <c r="L288" t="s">
        <v>209</v>
      </c>
    </row>
    <row r="289" spans="1:12">
      <c r="A289" s="1" t="s">
        <v>1721</v>
      </c>
      <c r="B289" s="2" t="str">
        <f>HYPERLINK("https://docket.philalegal.org/cgi-bin/proxy.pl?ct=170301452","170301452")</f>
        <v>170301452</v>
      </c>
      <c r="C289" s="3" t="s">
        <v>1722</v>
      </c>
      <c r="D289" s="3" t="s">
        <v>26</v>
      </c>
      <c r="E289" s="3" t="s">
        <v>1475</v>
      </c>
      <c r="F289" s="3" t="s">
        <v>158</v>
      </c>
      <c r="G289" s="3" t="s">
        <v>1723</v>
      </c>
      <c r="H289" s="3"/>
      <c r="I289" s="3" t="s">
        <v>1724</v>
      </c>
      <c r="J289" s="3" t="s">
        <v>1725</v>
      </c>
      <c r="K289" s="3" t="s">
        <v>1726</v>
      </c>
      <c r="L289" t="s">
        <v>22</v>
      </c>
    </row>
    <row r="290" spans="1:12">
      <c r="A290" s="1" t="s">
        <v>1727</v>
      </c>
      <c r="B290" s="2" t="str">
        <f>HYPERLINK("https://docket.philalegal.org/cgi-bin/proxy.pl?ct=170302754","170302754")</f>
        <v>170302754</v>
      </c>
      <c r="C290" s="3" t="s">
        <v>1722</v>
      </c>
      <c r="D290" s="3" t="s">
        <v>189</v>
      </c>
      <c r="E290" s="3" t="s">
        <v>1475</v>
      </c>
      <c r="F290" s="3" t="s">
        <v>383</v>
      </c>
      <c r="G290" s="3" t="s">
        <v>1728</v>
      </c>
      <c r="H290" s="3"/>
      <c r="I290" s="3" t="s">
        <v>1729</v>
      </c>
      <c r="J290" s="3">
        <v>181079700</v>
      </c>
      <c r="K290" s="3" t="s">
        <v>1730</v>
      </c>
      <c r="L290" t="s">
        <v>1188</v>
      </c>
    </row>
    <row r="291" spans="1:12">
      <c r="A291" s="1" t="s">
        <v>1731</v>
      </c>
      <c r="B291" s="2" t="str">
        <f>HYPERLINK("https://docket.philalegal.org/cgi-bin/proxy.pl?ct=170303006","170303006")</f>
        <v>170303006</v>
      </c>
      <c r="C291" s="3" t="s">
        <v>1722</v>
      </c>
      <c r="D291" s="3" t="s">
        <v>26</v>
      </c>
      <c r="E291" s="3" t="s">
        <v>1475</v>
      </c>
      <c r="F291" s="3" t="s">
        <v>383</v>
      </c>
      <c r="G291" s="3" t="s">
        <v>1732</v>
      </c>
      <c r="H291" s="3"/>
      <c r="I291" s="3" t="s">
        <v>1733</v>
      </c>
      <c r="J291" s="3">
        <v>363228500</v>
      </c>
      <c r="K291" s="3" t="s">
        <v>1726</v>
      </c>
      <c r="L291" t="s">
        <v>22</v>
      </c>
    </row>
    <row r="292" spans="1:12">
      <c r="A292" s="1" t="s">
        <v>1734</v>
      </c>
      <c r="B292" s="2" t="str">
        <f>HYPERLINK("https://docket.philalegal.org/cgi-bin/proxy.pl?ct=170401295","170401295")</f>
        <v>170401295</v>
      </c>
      <c r="C292" s="3" t="s">
        <v>1722</v>
      </c>
      <c r="D292" s="3" t="s">
        <v>26</v>
      </c>
      <c r="E292" s="3" t="s">
        <v>1475</v>
      </c>
      <c r="F292" s="3" t="s">
        <v>1649</v>
      </c>
      <c r="G292" s="3" t="s">
        <v>1735</v>
      </c>
      <c r="H292" s="3"/>
      <c r="I292" s="3" t="s">
        <v>1736</v>
      </c>
      <c r="J292" s="3">
        <v>141457900</v>
      </c>
      <c r="K292" s="3" t="s">
        <v>1726</v>
      </c>
      <c r="L292" t="s">
        <v>22</v>
      </c>
    </row>
    <row r="293" spans="1:12">
      <c r="A293" s="1" t="s">
        <v>1737</v>
      </c>
      <c r="B293" s="2" t="str">
        <f>HYPERLINK("https://docket.philalegal.org/cgi-bin/proxy.pl?ct=170402747","170402747")</f>
        <v>170402747</v>
      </c>
      <c r="C293" s="3" t="s">
        <v>1722</v>
      </c>
      <c r="D293" s="3" t="s">
        <v>261</v>
      </c>
      <c r="E293" s="3" t="s">
        <v>1475</v>
      </c>
      <c r="F293" s="3" t="s">
        <v>383</v>
      </c>
      <c r="G293" s="3" t="s">
        <v>1738</v>
      </c>
      <c r="H293" s="3" t="s">
        <v>1739</v>
      </c>
      <c r="I293" s="3" t="s">
        <v>1740</v>
      </c>
      <c r="J293" s="3">
        <v>291026900</v>
      </c>
      <c r="K293" s="3" t="s">
        <v>1691</v>
      </c>
      <c r="L293" t="s">
        <v>1346</v>
      </c>
    </row>
    <row r="294" spans="1:12">
      <c r="A294" s="1" t="s">
        <v>1741</v>
      </c>
      <c r="B294" s="2" t="str">
        <f>HYPERLINK("https://docket.philalegal.org/cgi-bin/proxy.pl?ct=170502232","170502232")</f>
        <v>170502232</v>
      </c>
      <c r="C294" s="3" t="s">
        <v>1722</v>
      </c>
      <c r="D294" s="3" t="s">
        <v>26</v>
      </c>
      <c r="E294" s="3" t="s">
        <v>1475</v>
      </c>
      <c r="F294" s="3" t="s">
        <v>1649</v>
      </c>
      <c r="G294" s="3" t="s">
        <v>1742</v>
      </c>
      <c r="H294" s="3"/>
      <c r="I294" s="3" t="s">
        <v>1743</v>
      </c>
      <c r="J294" s="3">
        <v>884460435</v>
      </c>
      <c r="K294" s="3" t="s">
        <v>1744</v>
      </c>
      <c r="L294" t="s">
        <v>22</v>
      </c>
    </row>
    <row r="295" spans="1:12">
      <c r="A295" s="1" t="s">
        <v>1745</v>
      </c>
      <c r="B295" s="2" t="str">
        <f>HYPERLINK("https://docket.philalegal.org/cgi-bin/proxy.pl?ct=170502405","170502405")</f>
        <v>170502405</v>
      </c>
      <c r="C295" s="3" t="s">
        <v>1722</v>
      </c>
      <c r="D295" s="3" t="s">
        <v>15</v>
      </c>
      <c r="E295" s="3" t="s">
        <v>1475</v>
      </c>
      <c r="F295" s="3" t="s">
        <v>383</v>
      </c>
      <c r="G295" s="3" t="s">
        <v>1746</v>
      </c>
      <c r="H295" s="3"/>
      <c r="I295" s="3" t="s">
        <v>1747</v>
      </c>
      <c r="J295" s="3" t="s">
        <v>1748</v>
      </c>
      <c r="K295" s="3" t="s">
        <v>1749</v>
      </c>
      <c r="L295" t="s">
        <v>209</v>
      </c>
    </row>
    <row r="296" spans="1:12">
      <c r="A296" s="1" t="s">
        <v>1750</v>
      </c>
      <c r="B296" s="2" t="str">
        <f>HYPERLINK("https://docket.philalegal.org/cgi-bin/proxy.pl?ct=170701322","170701322")</f>
        <v>170701322</v>
      </c>
      <c r="C296" s="3" t="s">
        <v>1722</v>
      </c>
      <c r="D296" s="3" t="s">
        <v>15</v>
      </c>
      <c r="E296" s="3" t="s">
        <v>1475</v>
      </c>
      <c r="F296" s="3" t="s">
        <v>383</v>
      </c>
      <c r="G296" s="3" t="s">
        <v>1751</v>
      </c>
      <c r="H296" s="3"/>
      <c r="I296" s="3" t="s">
        <v>1752</v>
      </c>
      <c r="J296" s="3">
        <v>871510100</v>
      </c>
      <c r="K296" s="3" t="s">
        <v>1753</v>
      </c>
      <c r="L296" t="s">
        <v>437</v>
      </c>
    </row>
    <row r="297" spans="1:12">
      <c r="A297" s="1" t="s">
        <v>1754</v>
      </c>
      <c r="B297" s="2" t="str">
        <f>HYPERLINK("https://docket.philalegal.org/cgi-bin/proxy.pl?ct=170703802","170703802")</f>
        <v>170703802</v>
      </c>
      <c r="C297" s="3" t="s">
        <v>1722</v>
      </c>
      <c r="D297" s="3" t="s">
        <v>96</v>
      </c>
      <c r="E297" s="3" t="s">
        <v>1475</v>
      </c>
      <c r="F297" s="3" t="s">
        <v>383</v>
      </c>
      <c r="G297" s="3" t="s">
        <v>1755</v>
      </c>
      <c r="H297" s="3" t="s">
        <v>1756</v>
      </c>
      <c r="I297" s="3" t="s">
        <v>1752</v>
      </c>
      <c r="J297" s="3">
        <v>871510100</v>
      </c>
      <c r="K297" s="3" t="s">
        <v>1757</v>
      </c>
      <c r="L297" t="s">
        <v>1758</v>
      </c>
    </row>
    <row r="298" spans="1:12">
      <c r="A298" s="1" t="s">
        <v>1759</v>
      </c>
      <c r="B298" s="2" t="str">
        <f>HYPERLINK("https://docket.philalegal.org/cgi-bin/proxy.pl?ct=170800012","170800012")</f>
        <v>170800012</v>
      </c>
      <c r="C298" s="3" t="s">
        <v>1722</v>
      </c>
      <c r="D298" s="3" t="s">
        <v>705</v>
      </c>
      <c r="E298" s="3" t="s">
        <v>1475</v>
      </c>
      <c r="F298" s="3" t="s">
        <v>363</v>
      </c>
      <c r="G298" s="3" t="s">
        <v>1760</v>
      </c>
      <c r="H298" s="3"/>
      <c r="I298" s="3" t="s">
        <v>1761</v>
      </c>
      <c r="J298" s="3">
        <v>123214400</v>
      </c>
      <c r="K298" s="3" t="s">
        <v>1762</v>
      </c>
      <c r="L298" t="s">
        <v>1346</v>
      </c>
    </row>
    <row r="299" spans="1:12">
      <c r="A299" s="1" t="s">
        <v>1763</v>
      </c>
      <c r="B299" s="2" t="str">
        <f>HYPERLINK("https://docket.philalegal.org/cgi-bin/proxy.pl?ct=170800598","170800598")</f>
        <v>170800598</v>
      </c>
      <c r="C299" s="3" t="s">
        <v>1722</v>
      </c>
      <c r="D299" s="3" t="s">
        <v>96</v>
      </c>
      <c r="E299" s="3" t="s">
        <v>1475</v>
      </c>
      <c r="F299" s="3" t="s">
        <v>1764</v>
      </c>
      <c r="G299" s="3" t="s">
        <v>1765</v>
      </c>
      <c r="H299" s="3"/>
      <c r="I299" s="3" t="s">
        <v>1766</v>
      </c>
      <c r="J299" s="3">
        <v>361056900</v>
      </c>
      <c r="K299" s="3" t="s">
        <v>1767</v>
      </c>
      <c r="L299" t="s">
        <v>1188</v>
      </c>
    </row>
    <row r="300" spans="1:12">
      <c r="A300" s="1" t="s">
        <v>1768</v>
      </c>
      <c r="B300" s="2" t="str">
        <f>HYPERLINK("https://docket.philalegal.org/cgi-bin/proxy.pl?ct=171000590","171000590")</f>
        <v>171000590</v>
      </c>
      <c r="C300" s="3" t="s">
        <v>1722</v>
      </c>
      <c r="D300" s="3" t="s">
        <v>96</v>
      </c>
      <c r="E300" s="3" t="s">
        <v>1475</v>
      </c>
      <c r="F300" s="3" t="s">
        <v>363</v>
      </c>
      <c r="G300" s="3" t="s">
        <v>1769</v>
      </c>
      <c r="H300" s="3"/>
      <c r="I300" s="3" t="s">
        <v>1770</v>
      </c>
      <c r="J300" s="3">
        <v>291298400</v>
      </c>
      <c r="K300" s="3" t="s">
        <v>1771</v>
      </c>
      <c r="L300" t="s">
        <v>1188</v>
      </c>
    </row>
    <row r="301" spans="1:12">
      <c r="A301" s="1" t="s">
        <v>1772</v>
      </c>
      <c r="B301" s="2" t="str">
        <f>HYPERLINK("https://docket.philalegal.org/cgi-bin/proxy.pl?ct=171002426","171002426")</f>
        <v>171002426</v>
      </c>
      <c r="C301" s="3" t="s">
        <v>1722</v>
      </c>
      <c r="D301" s="3" t="s">
        <v>15</v>
      </c>
      <c r="E301" s="3" t="s">
        <v>1475</v>
      </c>
      <c r="F301" s="3" t="s">
        <v>383</v>
      </c>
      <c r="G301" s="3" t="s">
        <v>1773</v>
      </c>
      <c r="H301" s="3"/>
      <c r="I301" s="3" t="s">
        <v>1774</v>
      </c>
      <c r="J301" s="3">
        <v>772219000</v>
      </c>
      <c r="K301" s="3" t="s">
        <v>1775</v>
      </c>
      <c r="L301" t="s">
        <v>209</v>
      </c>
    </row>
    <row r="302" spans="1:12">
      <c r="A302" s="1" t="s">
        <v>1776</v>
      </c>
      <c r="B302" s="2" t="str">
        <f>HYPERLINK("https://docket.philalegal.org/cgi-bin/proxy.pl?ct=171003108","171003108")</f>
        <v>171003108</v>
      </c>
      <c r="C302" s="3" t="s">
        <v>1722</v>
      </c>
      <c r="D302" s="3" t="s">
        <v>26</v>
      </c>
      <c r="E302" s="3" t="s">
        <v>1475</v>
      </c>
      <c r="F302" s="3" t="s">
        <v>383</v>
      </c>
      <c r="G302" s="3" t="s">
        <v>1777</v>
      </c>
      <c r="H302" s="3"/>
      <c r="I302" s="3" t="s">
        <v>1774</v>
      </c>
      <c r="J302" s="3">
        <v>772219000</v>
      </c>
      <c r="K302" s="3" t="s">
        <v>1532</v>
      </c>
      <c r="L302" t="s">
        <v>22</v>
      </c>
    </row>
    <row r="303" spans="1:12">
      <c r="A303" s="1" t="s">
        <v>1778</v>
      </c>
      <c r="B303" s="2" t="str">
        <f>HYPERLINK("https://docket.philalegal.org/cgi-bin/proxy.pl?ct=171003348","171003348")</f>
        <v>171003348</v>
      </c>
      <c r="C303" s="3" t="s">
        <v>1722</v>
      </c>
      <c r="D303" s="3" t="s">
        <v>96</v>
      </c>
      <c r="E303" s="3" t="s">
        <v>1475</v>
      </c>
      <c r="F303" s="3" t="s">
        <v>383</v>
      </c>
      <c r="G303" s="3" t="s">
        <v>1779</v>
      </c>
      <c r="H303" s="3" t="s">
        <v>1780</v>
      </c>
      <c r="I303" s="3" t="s">
        <v>1781</v>
      </c>
      <c r="J303" s="3">
        <v>141148400</v>
      </c>
      <c r="K303" s="3" t="s">
        <v>1782</v>
      </c>
      <c r="L303" t="s">
        <v>1549</v>
      </c>
    </row>
    <row r="304" spans="1:12">
      <c r="A304" s="1" t="s">
        <v>1783</v>
      </c>
      <c r="B304" s="2" t="str">
        <f>HYPERLINK("https://docket.philalegal.org/cgi-bin/proxy.pl?ct=171102488","171102488")</f>
        <v>171102488</v>
      </c>
      <c r="C304" s="3" t="s">
        <v>1722</v>
      </c>
      <c r="D304" s="3" t="s">
        <v>1784</v>
      </c>
      <c r="E304" s="3" t="s">
        <v>1475</v>
      </c>
      <c r="F304" s="3" t="s">
        <v>383</v>
      </c>
      <c r="G304" s="3" t="s">
        <v>1785</v>
      </c>
      <c r="H304" s="3" t="s">
        <v>1786</v>
      </c>
      <c r="I304" s="3" t="s">
        <v>1787</v>
      </c>
      <c r="J304" s="3">
        <v>181415900</v>
      </c>
      <c r="K304" s="3" t="s">
        <v>1788</v>
      </c>
      <c r="L304" t="s">
        <v>1789</v>
      </c>
    </row>
    <row r="305" spans="1:12">
      <c r="A305" s="1" t="s">
        <v>1790</v>
      </c>
      <c r="B305" s="2" t="str">
        <f>HYPERLINK("https://docket.philalegal.org/cgi-bin/proxy.pl?ct=171202845","171202845")</f>
        <v>171202845</v>
      </c>
      <c r="C305" s="3" t="s">
        <v>1722</v>
      </c>
      <c r="D305" s="3" t="s">
        <v>96</v>
      </c>
      <c r="E305" s="3" t="s">
        <v>1475</v>
      </c>
      <c r="F305" s="3" t="s">
        <v>383</v>
      </c>
      <c r="G305" s="3" t="s">
        <v>1791</v>
      </c>
      <c r="H305" s="3" t="s">
        <v>1246</v>
      </c>
      <c r="I305" s="3" t="s">
        <v>1792</v>
      </c>
      <c r="J305" s="3" t="s">
        <v>1793</v>
      </c>
      <c r="K305" s="3" t="s">
        <v>1794</v>
      </c>
      <c r="L305" t="s">
        <v>1789</v>
      </c>
    </row>
    <row r="306" spans="1:12">
      <c r="A306" s="1" t="s">
        <v>1795</v>
      </c>
      <c r="B306" s="2" t="str">
        <f>HYPERLINK("https://docket.philalegal.org/cgi-bin/proxy.pl?ct=171203335","171203335")</f>
        <v>171203335</v>
      </c>
      <c r="C306" s="3" t="s">
        <v>1722</v>
      </c>
      <c r="D306" s="3" t="s">
        <v>96</v>
      </c>
      <c r="E306" s="3" t="s">
        <v>1475</v>
      </c>
      <c r="F306" s="3" t="s">
        <v>383</v>
      </c>
      <c r="G306" s="3" t="s">
        <v>1796</v>
      </c>
      <c r="H306" s="3" t="s">
        <v>1797</v>
      </c>
      <c r="I306" s="3" t="s">
        <v>1798</v>
      </c>
      <c r="J306" s="3" t="s">
        <v>1799</v>
      </c>
      <c r="K306" s="3" t="s">
        <v>1800</v>
      </c>
      <c r="L306" t="s">
        <v>1549</v>
      </c>
    </row>
    <row r="307" spans="1:12">
      <c r="A307" s="1" t="s">
        <v>1801</v>
      </c>
      <c r="B307" s="2" t="str">
        <f>HYPERLINK("https://docket.philalegal.org/cgi-bin/proxy.pl?ct=180300025","180300025")</f>
        <v>180300025</v>
      </c>
      <c r="C307" s="3" t="s">
        <v>1722</v>
      </c>
      <c r="D307" s="3" t="s">
        <v>96</v>
      </c>
      <c r="E307" s="3" t="s">
        <v>1475</v>
      </c>
      <c r="F307" s="3" t="s">
        <v>383</v>
      </c>
      <c r="G307" s="3" t="s">
        <v>1802</v>
      </c>
      <c r="H307" s="3"/>
      <c r="I307" s="3" t="s">
        <v>1803</v>
      </c>
      <c r="J307" s="3">
        <v>312124300</v>
      </c>
      <c r="K307" s="3" t="s">
        <v>1804</v>
      </c>
      <c r="L307" t="s">
        <v>1188</v>
      </c>
    </row>
    <row r="308" spans="1:12">
      <c r="A308" s="1" t="s">
        <v>1805</v>
      </c>
      <c r="B308" s="2" t="str">
        <f>HYPERLINK("https://docket.philalegal.org/cgi-bin/proxy.pl?ct=180403254","180403254")</f>
        <v>180403254</v>
      </c>
      <c r="C308" s="3" t="s">
        <v>1722</v>
      </c>
      <c r="D308" s="3" t="s">
        <v>96</v>
      </c>
      <c r="E308" s="3" t="s">
        <v>1475</v>
      </c>
      <c r="F308" s="3" t="s">
        <v>383</v>
      </c>
      <c r="G308" s="3" t="s">
        <v>1806</v>
      </c>
      <c r="H308" s="3"/>
      <c r="I308" s="3" t="s">
        <v>1807</v>
      </c>
      <c r="J308" s="3" t="s">
        <v>1808</v>
      </c>
      <c r="K308" s="3" t="s">
        <v>1809</v>
      </c>
      <c r="L308" t="s">
        <v>1188</v>
      </c>
    </row>
    <row r="309" spans="1:12">
      <c r="A309" s="1" t="s">
        <v>1810</v>
      </c>
      <c r="B309" s="2" t="str">
        <f>HYPERLINK("https://docket.philalegal.org/cgi-bin/proxy.pl?ct=180500022","180500022")</f>
        <v>180500022</v>
      </c>
      <c r="C309" s="3" t="s">
        <v>1722</v>
      </c>
      <c r="D309" s="3" t="s">
        <v>26</v>
      </c>
      <c r="E309" s="3" t="s">
        <v>1475</v>
      </c>
      <c r="F309" s="3" t="s">
        <v>383</v>
      </c>
      <c r="G309" s="3" t="s">
        <v>1811</v>
      </c>
      <c r="H309" s="3" t="s">
        <v>1812</v>
      </c>
      <c r="I309" s="3" t="s">
        <v>1813</v>
      </c>
      <c r="J309" s="3">
        <v>361073100</v>
      </c>
      <c r="K309" s="3" t="s">
        <v>1532</v>
      </c>
      <c r="L309" t="s">
        <v>22</v>
      </c>
    </row>
    <row r="310" spans="1:12">
      <c r="A310" s="1" t="s">
        <v>1814</v>
      </c>
      <c r="B310" s="2" t="str">
        <f>HYPERLINK("https://docket.philalegal.org/cgi-bin/proxy.pl?ct=180600045","180600045")</f>
        <v>180600045</v>
      </c>
      <c r="C310" s="3" t="s">
        <v>1722</v>
      </c>
      <c r="D310" s="3" t="s">
        <v>96</v>
      </c>
      <c r="E310" s="3" t="s">
        <v>1475</v>
      </c>
      <c r="F310" s="3" t="s">
        <v>383</v>
      </c>
      <c r="G310" s="3" t="s">
        <v>1815</v>
      </c>
      <c r="H310" s="3" t="s">
        <v>1816</v>
      </c>
      <c r="I310" s="3" t="s">
        <v>1817</v>
      </c>
      <c r="J310" s="3">
        <v>361074100</v>
      </c>
      <c r="K310" s="3" t="s">
        <v>1818</v>
      </c>
      <c r="L310" t="s">
        <v>1188</v>
      </c>
    </row>
    <row r="311" spans="1:12">
      <c r="A311" s="1" t="s">
        <v>1819</v>
      </c>
      <c r="B311" s="2" t="str">
        <f>HYPERLINK("https://docket.philalegal.org/cgi-bin/proxy.pl?ct=180600065","180600065")</f>
        <v>180600065</v>
      </c>
      <c r="C311" s="3" t="s">
        <v>1722</v>
      </c>
      <c r="D311" s="3" t="s">
        <v>96</v>
      </c>
      <c r="E311" s="3" t="s">
        <v>1475</v>
      </c>
      <c r="F311" s="3" t="s">
        <v>383</v>
      </c>
      <c r="G311" s="3" t="s">
        <v>1820</v>
      </c>
      <c r="H311" s="3"/>
      <c r="I311" s="3" t="s">
        <v>1821</v>
      </c>
      <c r="J311" s="3">
        <v>291333300</v>
      </c>
      <c r="K311" s="3" t="s">
        <v>1822</v>
      </c>
      <c r="L311" t="s">
        <v>1188</v>
      </c>
    </row>
    <row r="312" spans="1:12">
      <c r="A312" s="1" t="s">
        <v>1823</v>
      </c>
      <c r="B312" s="2" t="str">
        <f>HYPERLINK("https://docket.philalegal.org/cgi-bin/proxy.pl?ct=180600673","180600673")</f>
        <v>180600673</v>
      </c>
      <c r="C312" s="3" t="s">
        <v>1722</v>
      </c>
      <c r="D312" s="3" t="s">
        <v>26</v>
      </c>
      <c r="E312" s="3" t="s">
        <v>1475</v>
      </c>
      <c r="F312" s="3" t="s">
        <v>1697</v>
      </c>
      <c r="G312" s="3" t="s">
        <v>1824</v>
      </c>
      <c r="H312" s="3" t="s">
        <v>1825</v>
      </c>
      <c r="I312" s="3" t="s">
        <v>1826</v>
      </c>
      <c r="J312" s="3">
        <v>363034200</v>
      </c>
      <c r="K312" s="3" t="s">
        <v>1532</v>
      </c>
      <c r="L312" t="s">
        <v>22</v>
      </c>
    </row>
    <row r="313" spans="1:12">
      <c r="A313" s="1" t="s">
        <v>1827</v>
      </c>
      <c r="B313" s="2" t="str">
        <f>HYPERLINK("https://docket.philalegal.org/cgi-bin/proxy.pl?ct=180902609","180902609")</f>
        <v>180902609</v>
      </c>
      <c r="C313" s="3" t="s">
        <v>1722</v>
      </c>
      <c r="D313" s="3" t="s">
        <v>26</v>
      </c>
      <c r="E313" s="3" t="s">
        <v>1475</v>
      </c>
      <c r="F313" s="3" t="s">
        <v>383</v>
      </c>
      <c r="G313" s="3" t="s">
        <v>1828</v>
      </c>
      <c r="H313" s="3" t="s">
        <v>225</v>
      </c>
      <c r="I313" s="3" t="s">
        <v>676</v>
      </c>
      <c r="J313" s="3">
        <v>363294400</v>
      </c>
      <c r="K313" s="3" t="s">
        <v>1532</v>
      </c>
      <c r="L313" t="s">
        <v>22</v>
      </c>
    </row>
    <row r="314" spans="1:12">
      <c r="A314" s="1" t="s">
        <v>1829</v>
      </c>
      <c r="B314" s="2" t="str">
        <f>HYPERLINK("https://docket.philalegal.org/cgi-bin/proxy.pl?ct=180903080","180903080")</f>
        <v>180903080</v>
      </c>
      <c r="C314" s="3" t="s">
        <v>1722</v>
      </c>
      <c r="D314" s="3" t="s">
        <v>96</v>
      </c>
      <c r="E314" s="3" t="s">
        <v>1475</v>
      </c>
      <c r="F314" s="3" t="s">
        <v>158</v>
      </c>
      <c r="G314" s="3" t="s">
        <v>1830</v>
      </c>
      <c r="H314" s="3" t="s">
        <v>1831</v>
      </c>
      <c r="I314" s="3" t="s">
        <v>1832</v>
      </c>
      <c r="J314" s="3">
        <v>884465255</v>
      </c>
      <c r="K314" s="3" t="s">
        <v>1833</v>
      </c>
      <c r="L314" t="s">
        <v>1834</v>
      </c>
    </row>
    <row r="315" spans="1:12">
      <c r="A315" s="1" t="s">
        <v>1835</v>
      </c>
      <c r="B315" s="2" t="str">
        <f>HYPERLINK("https://docket.philalegal.org/cgi-bin/proxy.pl?ct=181001985","181001985")</f>
        <v>181001985</v>
      </c>
      <c r="C315" s="3" t="s">
        <v>1722</v>
      </c>
      <c r="D315" s="3" t="s">
        <v>96</v>
      </c>
      <c r="E315" s="3" t="s">
        <v>1475</v>
      </c>
      <c r="F315" s="3" t="s">
        <v>383</v>
      </c>
      <c r="G315" s="3" t="s">
        <v>1836</v>
      </c>
      <c r="H315" s="3" t="s">
        <v>1837</v>
      </c>
      <c r="I315" s="3" t="s">
        <v>1838</v>
      </c>
      <c r="J315" s="3">
        <v>291325400</v>
      </c>
      <c r="K315" s="3" t="s">
        <v>1839</v>
      </c>
      <c r="L315" t="s">
        <v>1188</v>
      </c>
    </row>
    <row r="316" spans="1:12">
      <c r="A316" s="1" t="s">
        <v>1840</v>
      </c>
      <c r="B316" s="2" t="str">
        <f>HYPERLINK("https://docket.philalegal.org/cgi-bin/proxy.pl?ct=181200303","181200303")</f>
        <v>181200303</v>
      </c>
      <c r="C316" s="3" t="s">
        <v>1722</v>
      </c>
      <c r="D316" s="3" t="s">
        <v>26</v>
      </c>
      <c r="E316" s="3" t="s">
        <v>1475</v>
      </c>
      <c r="F316" s="3" t="s">
        <v>383</v>
      </c>
      <c r="G316" s="3" t="s">
        <v>1841</v>
      </c>
      <c r="H316" s="3"/>
      <c r="I316" s="3" t="s">
        <v>1842</v>
      </c>
      <c r="J316" s="3">
        <v>884346530</v>
      </c>
      <c r="K316" s="3" t="s">
        <v>1843</v>
      </c>
      <c r="L316" t="s">
        <v>22</v>
      </c>
    </row>
    <row r="317" spans="1:12">
      <c r="A317" s="1" t="s">
        <v>1844</v>
      </c>
      <c r="B317" s="2" t="str">
        <f>HYPERLINK("https://docket.philalegal.org/cgi-bin/proxy.pl?ct=181200879","181200879")</f>
        <v>181200879</v>
      </c>
      <c r="C317" s="3" t="s">
        <v>1722</v>
      </c>
      <c r="D317" s="3" t="s">
        <v>49</v>
      </c>
      <c r="E317" s="3" t="s">
        <v>1475</v>
      </c>
      <c r="F317" s="3" t="s">
        <v>369</v>
      </c>
      <c r="G317" s="3" t="s">
        <v>1845</v>
      </c>
      <c r="H317" s="3" t="s">
        <v>1846</v>
      </c>
      <c r="I317" s="3" t="s">
        <v>1847</v>
      </c>
      <c r="J317" s="3">
        <v>521207700</v>
      </c>
      <c r="K317" s="3" t="s">
        <v>1848</v>
      </c>
      <c r="L317" t="s">
        <v>1849</v>
      </c>
    </row>
    <row r="318" spans="1:12">
      <c r="A318" s="1" t="s">
        <v>1850</v>
      </c>
      <c r="B318" s="2" t="str">
        <f>HYPERLINK("https://docket.philalegal.org/cgi-bin/proxy.pl?ct=181202552","181202552")</f>
        <v>181202552</v>
      </c>
      <c r="C318" s="3" t="s">
        <v>1722</v>
      </c>
      <c r="D318" s="3" t="s">
        <v>96</v>
      </c>
      <c r="E318" s="3" t="s">
        <v>1475</v>
      </c>
      <c r="F318" s="3" t="s">
        <v>1565</v>
      </c>
      <c r="G318" s="3" t="s">
        <v>1851</v>
      </c>
      <c r="H318" s="3"/>
      <c r="I318" s="3" t="s">
        <v>1852</v>
      </c>
      <c r="J318" s="3">
        <v>291325500</v>
      </c>
      <c r="K318" s="3" t="s">
        <v>1853</v>
      </c>
      <c r="L318" t="s">
        <v>1854</v>
      </c>
    </row>
    <row r="319" spans="1:12">
      <c r="A319" s="1" t="s">
        <v>1855</v>
      </c>
      <c r="B319" s="2" t="str">
        <f>HYPERLINK("https://docket.philalegal.org/cgi-bin/proxy.pl?ct=190100019","190100019")</f>
        <v>190100019</v>
      </c>
      <c r="C319" s="3" t="s">
        <v>1722</v>
      </c>
      <c r="D319" s="3" t="s">
        <v>96</v>
      </c>
      <c r="E319" s="3" t="s">
        <v>1475</v>
      </c>
      <c r="F319" s="3" t="s">
        <v>383</v>
      </c>
      <c r="G319" s="3" t="s">
        <v>1856</v>
      </c>
      <c r="H319" s="3" t="s">
        <v>1857</v>
      </c>
      <c r="I319" s="3" t="s">
        <v>1858</v>
      </c>
      <c r="J319" s="3">
        <v>273029900</v>
      </c>
      <c r="K319" s="3" t="s">
        <v>1859</v>
      </c>
      <c r="L319" t="s">
        <v>1758</v>
      </c>
    </row>
    <row r="320" spans="1:12">
      <c r="A320" s="1" t="s">
        <v>1860</v>
      </c>
      <c r="B320" s="2" t="str">
        <f>HYPERLINK("https://docket.philalegal.org/cgi-bin/proxy.pl?ct=190101997","190101997")</f>
        <v>190101997</v>
      </c>
      <c r="C320" s="3" t="s">
        <v>1722</v>
      </c>
      <c r="D320" s="3" t="s">
        <v>26</v>
      </c>
      <c r="E320" s="3" t="s">
        <v>1475</v>
      </c>
      <c r="F320" s="3" t="s">
        <v>369</v>
      </c>
      <c r="G320" s="3" t="s">
        <v>1861</v>
      </c>
      <c r="H320" s="3"/>
      <c r="I320" s="3" t="s">
        <v>1862</v>
      </c>
      <c r="J320" s="3">
        <v>471084800</v>
      </c>
      <c r="K320" s="3" t="s">
        <v>1863</v>
      </c>
      <c r="L320" t="s">
        <v>22</v>
      </c>
    </row>
    <row r="321" spans="1:12">
      <c r="A321" s="1" t="s">
        <v>1864</v>
      </c>
      <c r="B321" s="2" t="str">
        <f>HYPERLINK("https://docket.philalegal.org/cgi-bin/proxy.pl?ct=190200641","190200641")</f>
        <v>190200641</v>
      </c>
      <c r="C321" s="3" t="s">
        <v>1722</v>
      </c>
      <c r="D321" s="3" t="s">
        <v>15</v>
      </c>
      <c r="E321" s="3" t="s">
        <v>1475</v>
      </c>
      <c r="F321" s="3" t="s">
        <v>1865</v>
      </c>
      <c r="G321" s="3" t="s">
        <v>1866</v>
      </c>
      <c r="H321" s="3" t="s">
        <v>1867</v>
      </c>
      <c r="I321" s="3" t="s">
        <v>390</v>
      </c>
      <c r="J321" s="3">
        <v>777504900</v>
      </c>
      <c r="K321" s="3" t="s">
        <v>1868</v>
      </c>
      <c r="L321" t="s">
        <v>209</v>
      </c>
    </row>
    <row r="322" spans="1:12">
      <c r="A322" s="1" t="s">
        <v>1869</v>
      </c>
      <c r="B322" s="2" t="str">
        <f>HYPERLINK("https://docket.philalegal.org/cgi-bin/proxy.pl?ct=190300115","190300115")</f>
        <v>190300115</v>
      </c>
      <c r="C322" s="3" t="s">
        <v>1722</v>
      </c>
      <c r="D322" s="3" t="s">
        <v>26</v>
      </c>
      <c r="E322" s="3" t="s">
        <v>1475</v>
      </c>
      <c r="F322" s="3" t="s">
        <v>369</v>
      </c>
      <c r="G322" s="3" t="s">
        <v>1870</v>
      </c>
      <c r="H322" s="3"/>
      <c r="I322" s="3" t="s">
        <v>1871</v>
      </c>
      <c r="J322" s="3">
        <v>291084300</v>
      </c>
      <c r="K322" s="3" t="s">
        <v>1532</v>
      </c>
      <c r="L322" t="s">
        <v>1872</v>
      </c>
    </row>
    <row r="323" spans="1:12">
      <c r="A323" s="1" t="s">
        <v>1873</v>
      </c>
      <c r="B323" s="2" t="str">
        <f>HYPERLINK("https://docket.philalegal.org/cgi-bin/proxy.pl?ct=190301874","190301874")</f>
        <v>190301874</v>
      </c>
      <c r="C323" s="3" t="s">
        <v>1722</v>
      </c>
      <c r="D323" s="3" t="s">
        <v>96</v>
      </c>
      <c r="E323" s="3" t="s">
        <v>1475</v>
      </c>
      <c r="F323" s="3" t="s">
        <v>383</v>
      </c>
      <c r="G323" s="3" t="s">
        <v>1874</v>
      </c>
      <c r="H323" s="3"/>
      <c r="I323" s="3" t="s">
        <v>1875</v>
      </c>
      <c r="J323" s="3">
        <v>183093500</v>
      </c>
      <c r="K323" s="3" t="s">
        <v>1876</v>
      </c>
      <c r="L323" t="s">
        <v>195</v>
      </c>
    </row>
    <row r="324" spans="1:12">
      <c r="A324" s="1" t="s">
        <v>1877</v>
      </c>
      <c r="B324" s="2" t="str">
        <f>HYPERLINK("https://docket.philalegal.org/cgi-bin/proxy.pl?ct=190302057","190302057")</f>
        <v>190302057</v>
      </c>
      <c r="C324" s="3" t="s">
        <v>1722</v>
      </c>
      <c r="D324" s="3" t="s">
        <v>1784</v>
      </c>
      <c r="E324" s="3" t="s">
        <v>1475</v>
      </c>
      <c r="F324" s="3" t="s">
        <v>369</v>
      </c>
      <c r="G324" s="3" t="s">
        <v>1878</v>
      </c>
      <c r="H324" s="3" t="s">
        <v>191</v>
      </c>
      <c r="I324" s="3" t="s">
        <v>1879</v>
      </c>
      <c r="J324" s="3">
        <v>291081000</v>
      </c>
      <c r="K324" s="3" t="s">
        <v>1880</v>
      </c>
      <c r="L324" t="s">
        <v>1881</v>
      </c>
    </row>
    <row r="325" spans="1:12">
      <c r="A325" s="1" t="s">
        <v>1882</v>
      </c>
      <c r="B325" s="2" t="str">
        <f>HYPERLINK("https://docket.philalegal.org/cgi-bin/proxy.pl?ct=190401517","190401517")</f>
        <v>190401517</v>
      </c>
      <c r="C325" s="3" t="s">
        <v>1722</v>
      </c>
      <c r="D325" s="3" t="s">
        <v>26</v>
      </c>
      <c r="E325" s="3" t="s">
        <v>1475</v>
      </c>
      <c r="F325" s="3" t="s">
        <v>369</v>
      </c>
      <c r="G325" s="3" t="s">
        <v>1883</v>
      </c>
      <c r="H325" s="3"/>
      <c r="I325" s="3" t="s">
        <v>1884</v>
      </c>
      <c r="J325" s="3">
        <v>775159000</v>
      </c>
      <c r="K325" s="3" t="s">
        <v>1532</v>
      </c>
      <c r="L325" t="s">
        <v>22</v>
      </c>
    </row>
    <row r="326" spans="1:12">
      <c r="A326" s="1" t="s">
        <v>1885</v>
      </c>
      <c r="B326" s="2" t="str">
        <f>HYPERLINK("https://docket.philalegal.org/cgi-bin/proxy.pl?ct=190402842","190402842")</f>
        <v>190402842</v>
      </c>
      <c r="C326" s="3" t="s">
        <v>1722</v>
      </c>
      <c r="D326" s="3" t="s">
        <v>26</v>
      </c>
      <c r="E326" s="3" t="s">
        <v>1475</v>
      </c>
      <c r="F326" s="3" t="s">
        <v>369</v>
      </c>
      <c r="G326" s="3" t="s">
        <v>1886</v>
      </c>
      <c r="H326" s="3"/>
      <c r="I326" s="3" t="s">
        <v>1887</v>
      </c>
      <c r="J326" s="3">
        <v>291336800</v>
      </c>
      <c r="K326" s="3" t="s">
        <v>1532</v>
      </c>
      <c r="L326" t="s">
        <v>22</v>
      </c>
    </row>
    <row r="327" spans="1:12">
      <c r="A327" s="1" t="s">
        <v>1888</v>
      </c>
      <c r="B327" s="2" t="str">
        <f>HYPERLINK("https://docket.philalegal.org/cgi-bin/proxy.pl?ct=190403502","190403502")</f>
        <v>190403502</v>
      </c>
      <c r="C327" s="3" t="s">
        <v>1722</v>
      </c>
      <c r="D327" s="3" t="s">
        <v>26</v>
      </c>
      <c r="E327" s="3" t="s">
        <v>1475</v>
      </c>
      <c r="F327" s="3" t="s">
        <v>383</v>
      </c>
      <c r="G327" s="3" t="s">
        <v>1889</v>
      </c>
      <c r="H327" s="3"/>
      <c r="I327" s="3" t="s">
        <v>1890</v>
      </c>
      <c r="J327" s="3">
        <v>471102400</v>
      </c>
      <c r="K327" s="3" t="s">
        <v>1532</v>
      </c>
      <c r="L327" t="s">
        <v>22</v>
      </c>
    </row>
    <row r="328" spans="1:12">
      <c r="A328" s="1" t="s">
        <v>1891</v>
      </c>
      <c r="B328" s="2" t="str">
        <f>HYPERLINK("https://docket.philalegal.org/cgi-bin/proxy.pl?ct=190501732","190501732")</f>
        <v>190501732</v>
      </c>
      <c r="C328" s="3" t="s">
        <v>1722</v>
      </c>
      <c r="D328" s="3" t="s">
        <v>26</v>
      </c>
      <c r="E328" s="3" t="s">
        <v>1475</v>
      </c>
      <c r="F328" s="3" t="s">
        <v>383</v>
      </c>
      <c r="G328" s="3" t="s">
        <v>1892</v>
      </c>
      <c r="H328" s="3"/>
      <c r="I328" s="3" t="s">
        <v>1893</v>
      </c>
      <c r="J328" s="3">
        <v>291125400</v>
      </c>
      <c r="K328" s="3" t="s">
        <v>1532</v>
      </c>
      <c r="L328" t="s">
        <v>22</v>
      </c>
    </row>
    <row r="329" spans="1:12">
      <c r="A329" s="1" t="s">
        <v>1894</v>
      </c>
      <c r="B329" s="2" t="str">
        <f>HYPERLINK("https://docket.philalegal.org/cgi-bin/proxy.pl?ct=190702794","190702794")</f>
        <v>190702794</v>
      </c>
      <c r="C329" s="3" t="s">
        <v>1722</v>
      </c>
      <c r="D329" s="3" t="s">
        <v>26</v>
      </c>
      <c r="E329" s="3" t="s">
        <v>1475</v>
      </c>
      <c r="F329" s="3" t="s">
        <v>1895</v>
      </c>
      <c r="G329" s="3" t="s">
        <v>1896</v>
      </c>
      <c r="H329" s="3"/>
      <c r="I329" s="3" t="s">
        <v>1897</v>
      </c>
      <c r="J329" s="3">
        <v>323195200</v>
      </c>
      <c r="K329" s="3" t="s">
        <v>1532</v>
      </c>
      <c r="L329" t="s">
        <v>22</v>
      </c>
    </row>
    <row r="330" spans="1:12">
      <c r="A330" s="1" t="s">
        <v>1898</v>
      </c>
      <c r="B330" s="2" t="str">
        <f>HYPERLINK("https://docket.philalegal.org/cgi-bin/proxy.pl?ct=190703211","190703211")</f>
        <v>190703211</v>
      </c>
      <c r="C330" s="3" t="s">
        <v>1722</v>
      </c>
      <c r="D330" s="3" t="s">
        <v>26</v>
      </c>
      <c r="E330" s="3" t="s">
        <v>1475</v>
      </c>
      <c r="F330" s="3" t="s">
        <v>1895</v>
      </c>
      <c r="G330" s="3" t="s">
        <v>1899</v>
      </c>
      <c r="H330" s="3"/>
      <c r="I330" s="3" t="s">
        <v>1900</v>
      </c>
      <c r="J330" s="3">
        <v>292053700</v>
      </c>
      <c r="K330" s="3" t="s">
        <v>1532</v>
      </c>
      <c r="L330" t="s">
        <v>22</v>
      </c>
    </row>
    <row r="331" spans="1:12">
      <c r="A331" s="1" t="s">
        <v>1901</v>
      </c>
      <c r="B331" s="2" t="str">
        <f>HYPERLINK("https://docket.philalegal.org/cgi-bin/proxy.pl?ct=190704091","190704091")</f>
        <v>190704091</v>
      </c>
      <c r="C331" s="3" t="s">
        <v>1722</v>
      </c>
      <c r="D331" s="3" t="s">
        <v>96</v>
      </c>
      <c r="E331" s="3" t="s">
        <v>1475</v>
      </c>
      <c r="F331" s="3" t="s">
        <v>1902</v>
      </c>
      <c r="G331" s="3" t="s">
        <v>1903</v>
      </c>
      <c r="H331" s="3" t="s">
        <v>191</v>
      </c>
      <c r="I331" s="3" t="s">
        <v>1904</v>
      </c>
      <c r="J331" s="3">
        <v>521205000</v>
      </c>
      <c r="K331" s="3" t="s">
        <v>1905</v>
      </c>
      <c r="L331" t="s">
        <v>1188</v>
      </c>
    </row>
    <row r="332" spans="1:12">
      <c r="A332" s="1" t="s">
        <v>1906</v>
      </c>
      <c r="B332" s="2" t="str">
        <f>HYPERLINK("https://docket.philalegal.org/cgi-bin/proxy.pl?ct=190800185","190800185")</f>
        <v>190800185</v>
      </c>
      <c r="C332" s="3" t="s">
        <v>1722</v>
      </c>
      <c r="D332" s="3" t="s">
        <v>26</v>
      </c>
      <c r="E332" s="3" t="s">
        <v>1475</v>
      </c>
      <c r="F332" s="3" t="s">
        <v>1907</v>
      </c>
      <c r="G332" s="3" t="s">
        <v>1908</v>
      </c>
      <c r="H332" s="3" t="s">
        <v>1909</v>
      </c>
      <c r="I332" s="3" t="s">
        <v>1910</v>
      </c>
      <c r="J332" s="3">
        <v>291071900</v>
      </c>
      <c r="K332" s="3" t="s">
        <v>1532</v>
      </c>
      <c r="L332" t="s">
        <v>22</v>
      </c>
    </row>
    <row r="333" spans="1:12">
      <c r="A333" s="1" t="s">
        <v>1911</v>
      </c>
      <c r="B333" s="2" t="str">
        <f>HYPERLINK("https://docket.philalegal.org/cgi-bin/proxy.pl?ct=190803117","190803117")</f>
        <v>190803117</v>
      </c>
      <c r="C333" s="3" t="s">
        <v>1722</v>
      </c>
      <c r="D333" s="3" t="s">
        <v>26</v>
      </c>
      <c r="E333" s="3" t="s">
        <v>1475</v>
      </c>
      <c r="F333" s="3" t="s">
        <v>1902</v>
      </c>
      <c r="G333" s="3" t="s">
        <v>1912</v>
      </c>
      <c r="H333" s="3" t="s">
        <v>1913</v>
      </c>
      <c r="I333" s="3" t="s">
        <v>1914</v>
      </c>
      <c r="J333" s="3">
        <v>324088400</v>
      </c>
      <c r="K333" s="3" t="s">
        <v>1532</v>
      </c>
      <c r="L333" t="s">
        <v>22</v>
      </c>
    </row>
    <row r="334" spans="1:12">
      <c r="A334" s="1" t="s">
        <v>1915</v>
      </c>
      <c r="B334" s="2" t="str">
        <f>HYPERLINK("https://docket.philalegal.org/cgi-bin/proxy.pl?ct=190900390","190900390")</f>
        <v>190900390</v>
      </c>
      <c r="C334" s="3" t="s">
        <v>1722</v>
      </c>
      <c r="D334" s="3" t="s">
        <v>26</v>
      </c>
      <c r="E334" s="3" t="s">
        <v>1475</v>
      </c>
      <c r="F334" s="3" t="s">
        <v>369</v>
      </c>
      <c r="G334" s="3" t="s">
        <v>1916</v>
      </c>
      <c r="H334" s="3"/>
      <c r="I334" s="3" t="s">
        <v>1917</v>
      </c>
      <c r="J334" s="3">
        <v>323188100</v>
      </c>
      <c r="K334" s="3" t="s">
        <v>1532</v>
      </c>
      <c r="L334" t="s">
        <v>22</v>
      </c>
    </row>
    <row r="335" spans="1:12">
      <c r="A335" s="1" t="s">
        <v>1918</v>
      </c>
      <c r="B335" s="2" t="str">
        <f>HYPERLINK("https://docket.philalegal.org/cgi-bin/proxy.pl?ct=190900641","190900641")</f>
        <v>190900641</v>
      </c>
      <c r="C335" s="3" t="s">
        <v>1722</v>
      </c>
      <c r="D335" s="3" t="s">
        <v>26</v>
      </c>
      <c r="E335" s="3" t="s">
        <v>1475</v>
      </c>
      <c r="F335" s="3" t="s">
        <v>1902</v>
      </c>
      <c r="G335" s="3" t="s">
        <v>1919</v>
      </c>
      <c r="H335" s="3" t="s">
        <v>1920</v>
      </c>
      <c r="I335" s="3" t="s">
        <v>1921</v>
      </c>
      <c r="J335" s="3">
        <v>871130700</v>
      </c>
      <c r="K335" s="3" t="s">
        <v>1922</v>
      </c>
      <c r="L335" t="s">
        <v>22</v>
      </c>
    </row>
    <row r="336" spans="1:12">
      <c r="A336" s="1" t="s">
        <v>1923</v>
      </c>
      <c r="B336" s="2" t="str">
        <f>HYPERLINK("https://docket.philalegal.org/cgi-bin/proxy.pl?ct=190900644","190900644")</f>
        <v>190900644</v>
      </c>
      <c r="C336" s="3" t="s">
        <v>1722</v>
      </c>
      <c r="D336" s="3" t="s">
        <v>26</v>
      </c>
      <c r="E336" s="3" t="s">
        <v>1475</v>
      </c>
      <c r="F336" s="3" t="s">
        <v>1924</v>
      </c>
      <c r="G336" s="3" t="s">
        <v>1925</v>
      </c>
      <c r="H336" s="3" t="s">
        <v>1926</v>
      </c>
      <c r="I336" s="3" t="s">
        <v>1927</v>
      </c>
      <c r="J336" s="3">
        <v>871130750</v>
      </c>
      <c r="K336" s="3" t="s">
        <v>1928</v>
      </c>
      <c r="L336" t="s">
        <v>1929</v>
      </c>
    </row>
    <row r="337" spans="1:12">
      <c r="A337" s="1" t="s">
        <v>1930</v>
      </c>
      <c r="B337" s="2" t="str">
        <f>HYPERLINK("https://docket.philalegal.org/cgi-bin/proxy.pl?ct=191000844","191000844")</f>
        <v>191000844</v>
      </c>
      <c r="C337" s="3" t="s">
        <v>1722</v>
      </c>
      <c r="D337" s="3" t="s">
        <v>96</v>
      </c>
      <c r="E337" s="3" t="s">
        <v>1475</v>
      </c>
      <c r="F337" s="3" t="s">
        <v>1931</v>
      </c>
      <c r="G337" s="3" t="s">
        <v>1932</v>
      </c>
      <c r="H337" s="3"/>
      <c r="I337" s="3" t="s">
        <v>1933</v>
      </c>
      <c r="J337" s="3">
        <v>361276100</v>
      </c>
      <c r="K337" s="3" t="s">
        <v>1934</v>
      </c>
      <c r="L337" t="s">
        <v>1188</v>
      </c>
    </row>
    <row r="338" spans="1:12">
      <c r="A338" s="1" t="s">
        <v>1935</v>
      </c>
      <c r="B338" s="2" t="str">
        <f>HYPERLINK("https://docket.philalegal.org/cgi-bin/proxy.pl?ct=191001067","191001067")</f>
        <v>191001067</v>
      </c>
      <c r="C338" s="3" t="s">
        <v>1722</v>
      </c>
      <c r="D338" s="3" t="s">
        <v>26</v>
      </c>
      <c r="E338" s="3" t="s">
        <v>1475</v>
      </c>
      <c r="F338" s="3" t="s">
        <v>158</v>
      </c>
      <c r="G338" s="3" t="s">
        <v>1936</v>
      </c>
      <c r="H338" s="3"/>
      <c r="I338" s="3" t="s">
        <v>1937</v>
      </c>
      <c r="J338" s="3">
        <v>361292000</v>
      </c>
      <c r="K338" s="3" t="s">
        <v>1532</v>
      </c>
      <c r="L338" t="s">
        <v>22</v>
      </c>
    </row>
    <row r="339" spans="1:12">
      <c r="A339" s="1" t="s">
        <v>1938</v>
      </c>
      <c r="B339" s="2" t="str">
        <f>HYPERLINK("https://docket.philalegal.org/cgi-bin/proxy.pl?ct=191001726","191001726")</f>
        <v>191001726</v>
      </c>
      <c r="C339" s="3" t="s">
        <v>1722</v>
      </c>
      <c r="D339" s="3" t="s">
        <v>96</v>
      </c>
      <c r="E339" s="3" t="s">
        <v>1475</v>
      </c>
      <c r="F339" s="3" t="s">
        <v>158</v>
      </c>
      <c r="G339" s="3" t="s">
        <v>1939</v>
      </c>
      <c r="H339" s="3"/>
      <c r="I339" s="3" t="s">
        <v>1940</v>
      </c>
      <c r="J339" s="3">
        <v>202174900</v>
      </c>
      <c r="K339" s="3" t="s">
        <v>1941</v>
      </c>
      <c r="L339" t="s">
        <v>1188</v>
      </c>
    </row>
    <row r="340" spans="1:12">
      <c r="A340" s="1" t="s">
        <v>1942</v>
      </c>
      <c r="B340" s="2" t="str">
        <f>HYPERLINK("https://docket.philalegal.org/cgi-bin/proxy.pl?ct=191103250","191103250")</f>
        <v>191103250</v>
      </c>
      <c r="C340" s="3" t="s">
        <v>1722</v>
      </c>
      <c r="D340" s="3" t="s">
        <v>26</v>
      </c>
      <c r="E340" s="3" t="s">
        <v>1475</v>
      </c>
      <c r="F340" s="3" t="s">
        <v>383</v>
      </c>
      <c r="G340" s="3" t="s">
        <v>1943</v>
      </c>
      <c r="H340" s="3" t="s">
        <v>1825</v>
      </c>
      <c r="I340" s="3" t="s">
        <v>1944</v>
      </c>
      <c r="J340" s="3">
        <v>324048100</v>
      </c>
      <c r="K340" s="3" t="s">
        <v>1532</v>
      </c>
      <c r="L340" t="s">
        <v>22</v>
      </c>
    </row>
    <row r="341" spans="1:12">
      <c r="A341" s="1" t="s">
        <v>1945</v>
      </c>
      <c r="B341" s="2" t="str">
        <f>HYPERLINK("https://docket.philalegal.org/cgi-bin/proxy.pl?ct=191103253","191103253")</f>
        <v>191103253</v>
      </c>
      <c r="C341" s="3" t="s">
        <v>1722</v>
      </c>
      <c r="D341" s="3" t="s">
        <v>26</v>
      </c>
      <c r="E341" s="3" t="s">
        <v>1475</v>
      </c>
      <c r="F341" s="3" t="s">
        <v>383</v>
      </c>
      <c r="G341" s="3" t="s">
        <v>1946</v>
      </c>
      <c r="H341" s="3"/>
      <c r="I341" s="3" t="s">
        <v>1947</v>
      </c>
      <c r="J341" s="3">
        <v>362028500</v>
      </c>
      <c r="K341" s="3" t="s">
        <v>1532</v>
      </c>
      <c r="L341" t="s">
        <v>1188</v>
      </c>
    </row>
    <row r="342" spans="1:12">
      <c r="A342" s="1" t="s">
        <v>1948</v>
      </c>
      <c r="B342" s="2" t="str">
        <f>HYPERLINK("https://docket.philalegal.org/cgi-bin/proxy.pl?ct=191103260","191103260")</f>
        <v>191103260</v>
      </c>
      <c r="C342" s="3" t="s">
        <v>1722</v>
      </c>
      <c r="D342" s="3" t="s">
        <v>96</v>
      </c>
      <c r="E342" s="3" t="s">
        <v>1475</v>
      </c>
      <c r="F342" s="3" t="s">
        <v>383</v>
      </c>
      <c r="G342" s="3" t="s">
        <v>1949</v>
      </c>
      <c r="H342" s="3" t="s">
        <v>1950</v>
      </c>
      <c r="I342" s="3" t="s">
        <v>1951</v>
      </c>
      <c r="J342" s="3">
        <v>521298500</v>
      </c>
      <c r="K342" s="3" t="s">
        <v>1952</v>
      </c>
      <c r="L342" t="s">
        <v>1953</v>
      </c>
    </row>
    <row r="343" spans="1:12">
      <c r="A343" s="1" t="s">
        <v>1954</v>
      </c>
      <c r="B343" s="2" t="str">
        <f>HYPERLINK("https://docket.philalegal.org/cgi-bin/proxy.pl?ct=191200060","191200060")</f>
        <v>191200060</v>
      </c>
      <c r="C343" s="3" t="s">
        <v>1722</v>
      </c>
      <c r="D343" s="3" t="s">
        <v>15</v>
      </c>
      <c r="E343" s="3" t="s">
        <v>1475</v>
      </c>
      <c r="F343" s="3" t="s">
        <v>383</v>
      </c>
      <c r="G343" s="3" t="s">
        <v>1955</v>
      </c>
      <c r="H343" s="3"/>
      <c r="I343" s="3" t="s">
        <v>1956</v>
      </c>
      <c r="J343" s="3">
        <v>324098600</v>
      </c>
      <c r="K343" s="3" t="s">
        <v>1709</v>
      </c>
      <c r="L343" t="s">
        <v>209</v>
      </c>
    </row>
    <row r="344" spans="1:12">
      <c r="A344" s="1" t="s">
        <v>1957</v>
      </c>
      <c r="B344" s="2" t="str">
        <f>HYPERLINK("https://docket.philalegal.org/cgi-bin/proxy.pl?ct=191201076","191201076")</f>
        <v>191201076</v>
      </c>
      <c r="C344" s="3" t="s">
        <v>1722</v>
      </c>
      <c r="D344" s="3" t="s">
        <v>96</v>
      </c>
      <c r="E344" s="3" t="s">
        <v>1475</v>
      </c>
      <c r="F344" s="3" t="s">
        <v>1902</v>
      </c>
      <c r="G344" s="3" t="s">
        <v>1958</v>
      </c>
      <c r="H344" s="3" t="s">
        <v>1959</v>
      </c>
      <c r="I344" s="3" t="s">
        <v>1960</v>
      </c>
      <c r="J344" s="3">
        <v>291236100</v>
      </c>
      <c r="K344" s="3" t="s">
        <v>1961</v>
      </c>
      <c r="L344" t="s">
        <v>1962</v>
      </c>
    </row>
    <row r="345" spans="1:12">
      <c r="A345" s="1" t="s">
        <v>1963</v>
      </c>
      <c r="B345" s="2" t="str">
        <f>HYPERLINK("https://docket.philalegal.org/cgi-bin/proxy.pl?ct=191202300","191202300")</f>
        <v>191202300</v>
      </c>
      <c r="C345" s="3" t="s">
        <v>1722</v>
      </c>
      <c r="D345" s="3" t="s">
        <v>261</v>
      </c>
      <c r="E345" s="3" t="s">
        <v>1475</v>
      </c>
      <c r="F345" s="3" t="s">
        <v>369</v>
      </c>
      <c r="G345" s="3" t="s">
        <v>1870</v>
      </c>
      <c r="H345" s="3" t="s">
        <v>1964</v>
      </c>
      <c r="I345" s="3" t="s">
        <v>1965</v>
      </c>
      <c r="J345" s="3" t="s">
        <v>1966</v>
      </c>
      <c r="K345" s="3" t="s">
        <v>1967</v>
      </c>
      <c r="L345" t="s">
        <v>1346</v>
      </c>
    </row>
    <row r="346" spans="1:12">
      <c r="A346" s="1" t="s">
        <v>1968</v>
      </c>
      <c r="B346" s="2" t="str">
        <f>HYPERLINK("https://docket.philalegal.org/cgi-bin/proxy.pl?ct=200201288","200201288")</f>
        <v>200201288</v>
      </c>
      <c r="C346" s="3" t="s">
        <v>1722</v>
      </c>
      <c r="D346" s="3" t="s">
        <v>26</v>
      </c>
      <c r="E346" s="3" t="s">
        <v>1475</v>
      </c>
      <c r="F346" s="3" t="s">
        <v>383</v>
      </c>
      <c r="G346" s="3" t="s">
        <v>1969</v>
      </c>
      <c r="H346" s="3" t="s">
        <v>1970</v>
      </c>
      <c r="I346" s="3" t="s">
        <v>1971</v>
      </c>
      <c r="J346" s="3">
        <v>222070000</v>
      </c>
      <c r="K346" s="3" t="s">
        <v>1532</v>
      </c>
      <c r="L346" t="s">
        <v>22</v>
      </c>
    </row>
    <row r="347" spans="1:12">
      <c r="A347" s="1" t="s">
        <v>1972</v>
      </c>
      <c r="B347" s="2" t="str">
        <f>HYPERLINK("https://docket.philalegal.org/cgi-bin/proxy.pl?ct=200201970","200201970")</f>
        <v>200201970</v>
      </c>
      <c r="C347" s="3" t="s">
        <v>1722</v>
      </c>
      <c r="D347" s="3" t="s">
        <v>26</v>
      </c>
      <c r="E347" s="3" t="s">
        <v>1475</v>
      </c>
      <c r="F347" s="3" t="s">
        <v>1973</v>
      </c>
      <c r="G347" s="3" t="s">
        <v>1974</v>
      </c>
      <c r="H347" s="3" t="s">
        <v>1975</v>
      </c>
      <c r="I347" s="3" t="s">
        <v>1976</v>
      </c>
      <c r="J347" s="3">
        <v>772093000</v>
      </c>
      <c r="K347" s="3" t="s">
        <v>1532</v>
      </c>
      <c r="L347" t="s">
        <v>22</v>
      </c>
    </row>
    <row r="348" spans="1:12">
      <c r="A348" s="1" t="s">
        <v>1977</v>
      </c>
      <c r="B348" s="2" t="str">
        <f>HYPERLINK("https://docket.philalegal.org/cgi-bin/proxy.pl?ct=200203202","200203202")</f>
        <v>200203202</v>
      </c>
      <c r="C348" s="3" t="s">
        <v>1722</v>
      </c>
      <c r="D348" s="3" t="s">
        <v>61</v>
      </c>
      <c r="E348" s="3" t="s">
        <v>1475</v>
      </c>
      <c r="F348" s="3" t="s">
        <v>383</v>
      </c>
      <c r="G348" s="3" t="s">
        <v>1978</v>
      </c>
      <c r="H348" s="3"/>
      <c r="I348" s="3" t="s">
        <v>1979</v>
      </c>
      <c r="J348" s="3">
        <v>362118405</v>
      </c>
      <c r="K348" s="3" t="s">
        <v>1980</v>
      </c>
      <c r="L348" t="s">
        <v>1981</v>
      </c>
    </row>
    <row r="349" spans="1:12">
      <c r="A349" s="1" t="s">
        <v>1982</v>
      </c>
      <c r="B349" s="2" t="str">
        <f>HYPERLINK("https://docket.philalegal.org/cgi-bin/proxy.pl?ct=200203268","200203268")</f>
        <v>200203268</v>
      </c>
      <c r="C349" s="3" t="s">
        <v>1722</v>
      </c>
      <c r="D349" s="3" t="s">
        <v>26</v>
      </c>
      <c r="E349" s="3" t="s">
        <v>1475</v>
      </c>
      <c r="F349" s="3" t="s">
        <v>1983</v>
      </c>
      <c r="G349" s="3" t="s">
        <v>1984</v>
      </c>
      <c r="H349" s="3"/>
      <c r="I349" s="3" t="s">
        <v>1985</v>
      </c>
      <c r="J349" s="3">
        <v>884166907</v>
      </c>
      <c r="K349" s="3" t="s">
        <v>1212</v>
      </c>
      <c r="L349" t="s">
        <v>22</v>
      </c>
    </row>
    <row r="350" spans="1:12">
      <c r="A350" s="1" t="s">
        <v>1986</v>
      </c>
      <c r="B350" s="2" t="str">
        <f>HYPERLINK("https://docket.philalegal.org/cgi-bin/proxy.pl?ct=200300343","200300343")</f>
        <v>200300343</v>
      </c>
      <c r="C350" s="3" t="s">
        <v>1722</v>
      </c>
      <c r="D350" s="3" t="s">
        <v>705</v>
      </c>
      <c r="E350" s="3" t="s">
        <v>1475</v>
      </c>
      <c r="F350" s="3" t="s">
        <v>383</v>
      </c>
      <c r="G350" s="3" t="s">
        <v>1987</v>
      </c>
      <c r="H350" s="3" t="s">
        <v>1702</v>
      </c>
      <c r="I350" s="3" t="s">
        <v>1988</v>
      </c>
      <c r="J350" s="3">
        <v>282267700</v>
      </c>
      <c r="K350" s="3" t="s">
        <v>1989</v>
      </c>
      <c r="L350" t="s">
        <v>1990</v>
      </c>
    </row>
    <row r="351" spans="1:12">
      <c r="A351" s="1" t="s">
        <v>1991</v>
      </c>
      <c r="B351" s="2" t="str">
        <f>HYPERLINK("https://docket.philalegal.org/cgi-bin/proxy.pl?ct=200301480","200301480")</f>
        <v>200301480</v>
      </c>
      <c r="C351" s="3" t="s">
        <v>1722</v>
      </c>
      <c r="D351" s="3" t="s">
        <v>15</v>
      </c>
      <c r="E351" s="3" t="s">
        <v>1475</v>
      </c>
      <c r="F351" s="3" t="s">
        <v>383</v>
      </c>
      <c r="G351" s="3" t="s">
        <v>1992</v>
      </c>
      <c r="H351" s="3"/>
      <c r="I351" s="3" t="s">
        <v>1993</v>
      </c>
      <c r="J351" s="3" t="s">
        <v>1994</v>
      </c>
      <c r="K351" s="3" t="s">
        <v>1995</v>
      </c>
      <c r="L351" t="s">
        <v>209</v>
      </c>
    </row>
    <row r="352" spans="1:12">
      <c r="A352" s="1" t="s">
        <v>1996</v>
      </c>
      <c r="B352" s="2" t="str">
        <f>HYPERLINK("https://docket.philalegal.org/cgi-bin/proxy.pl?ct=200302447","200302447")</f>
        <v>200302447</v>
      </c>
      <c r="C352" s="3" t="s">
        <v>1722</v>
      </c>
      <c r="D352" s="3" t="s">
        <v>1997</v>
      </c>
      <c r="E352" s="3" t="s">
        <v>1475</v>
      </c>
      <c r="F352" s="3" t="s">
        <v>1998</v>
      </c>
      <c r="G352" s="3" t="s">
        <v>1999</v>
      </c>
      <c r="H352" s="3" t="s">
        <v>2000</v>
      </c>
      <c r="I352" s="3" t="s">
        <v>2001</v>
      </c>
      <c r="J352" s="3">
        <v>241174400</v>
      </c>
      <c r="K352" s="3" t="s">
        <v>2002</v>
      </c>
      <c r="L352" t="s">
        <v>2003</v>
      </c>
    </row>
    <row r="353" spans="1:12">
      <c r="A353" s="1" t="s">
        <v>2004</v>
      </c>
      <c r="B353" s="2" t="str">
        <f>HYPERLINK("https://docket.philalegal.org/cgi-bin/proxy.pl?ct=200401714","200401714")</f>
        <v>200401714</v>
      </c>
      <c r="C353" s="3" t="s">
        <v>1722</v>
      </c>
      <c r="D353" s="3" t="s">
        <v>49</v>
      </c>
      <c r="E353" s="3" t="s">
        <v>1475</v>
      </c>
      <c r="F353" s="3" t="s">
        <v>369</v>
      </c>
      <c r="G353" s="3" t="s">
        <v>2005</v>
      </c>
      <c r="H353" s="3"/>
      <c r="I353" s="3" t="s">
        <v>2006</v>
      </c>
      <c r="J353" s="3">
        <v>885507660</v>
      </c>
      <c r="K353" s="3" t="s">
        <v>2007</v>
      </c>
      <c r="L353" t="s">
        <v>1358</v>
      </c>
    </row>
    <row r="354" spans="1:12">
      <c r="A354" s="1" t="s">
        <v>2008</v>
      </c>
      <c r="B354" s="2" t="str">
        <f>HYPERLINK("https://docket.philalegal.org/cgi-bin/proxy.pl?ct=200501052","200501052")</f>
        <v>200501052</v>
      </c>
      <c r="C354" s="3" t="s">
        <v>1722</v>
      </c>
      <c r="D354" s="3" t="s">
        <v>26</v>
      </c>
      <c r="E354" s="3" t="s">
        <v>1475</v>
      </c>
      <c r="F354" s="3" t="s">
        <v>1565</v>
      </c>
      <c r="G354" s="3" t="s">
        <v>2009</v>
      </c>
      <c r="H354" s="3" t="s">
        <v>2010</v>
      </c>
      <c r="I354" s="3" t="s">
        <v>2011</v>
      </c>
      <c r="J354" s="3">
        <v>323342000</v>
      </c>
      <c r="K354" s="3" t="s">
        <v>2012</v>
      </c>
      <c r="L354" t="s">
        <v>22</v>
      </c>
    </row>
    <row r="355" spans="1:12">
      <c r="A355" s="1" t="s">
        <v>2013</v>
      </c>
      <c r="B355" s="2" t="str">
        <f>HYPERLINK("https://docket.philalegal.org/cgi-bin/proxy.pl?ct=210302431","210302431")</f>
        <v>210302431</v>
      </c>
      <c r="C355" s="3" t="s">
        <v>1722</v>
      </c>
      <c r="D355" s="3" t="s">
        <v>41</v>
      </c>
      <c r="E355" s="3" t="s">
        <v>1475</v>
      </c>
      <c r="F355" s="3" t="s">
        <v>383</v>
      </c>
      <c r="G355" s="3" t="s">
        <v>2014</v>
      </c>
      <c r="H355" s="3"/>
      <c r="I355" s="3" t="s">
        <v>2015</v>
      </c>
      <c r="J355" s="3">
        <v>362048600</v>
      </c>
      <c r="K355" s="3" t="s">
        <v>2016</v>
      </c>
      <c r="L355" t="s">
        <v>437</v>
      </c>
    </row>
    <row r="356" spans="1:12">
      <c r="A356" s="1" t="s">
        <v>2017</v>
      </c>
      <c r="B356" s="2" t="str">
        <f>HYPERLINK("https://docket.philalegal.org/cgi-bin/proxy.pl?ct=210401034","210401034")</f>
        <v>210401034</v>
      </c>
      <c r="C356" s="3" t="s">
        <v>1722</v>
      </c>
      <c r="D356" s="3" t="s">
        <v>2018</v>
      </c>
      <c r="E356" s="3" t="s">
        <v>1475</v>
      </c>
      <c r="F356" s="3" t="s">
        <v>158</v>
      </c>
      <c r="G356" s="3" t="s">
        <v>2019</v>
      </c>
      <c r="H356" s="3" t="s">
        <v>2020</v>
      </c>
      <c r="I356" s="3" t="s">
        <v>2021</v>
      </c>
      <c r="J356" s="3">
        <v>323026900</v>
      </c>
      <c r="K356" s="3" t="s">
        <v>2022</v>
      </c>
      <c r="L356" t="s">
        <v>2023</v>
      </c>
    </row>
    <row r="357" spans="1:12">
      <c r="A357" s="1" t="s">
        <v>2024</v>
      </c>
      <c r="B357" s="2" t="str">
        <f>HYPERLINK("https://docket.philalegal.org/cgi-bin/proxy.pl?ct=210401494","210401494")</f>
        <v>210401494</v>
      </c>
      <c r="C357" s="3" t="s">
        <v>1722</v>
      </c>
      <c r="D357" s="3" t="s">
        <v>26</v>
      </c>
      <c r="E357" s="3" t="s">
        <v>1475</v>
      </c>
      <c r="F357" s="3" t="s">
        <v>1565</v>
      </c>
      <c r="G357" s="3" t="s">
        <v>2025</v>
      </c>
      <c r="H357" s="3"/>
      <c r="I357" s="3" t="s">
        <v>1914</v>
      </c>
      <c r="J357" s="3">
        <v>324088400</v>
      </c>
      <c r="K357" s="3" t="s">
        <v>1532</v>
      </c>
      <c r="L357" t="s">
        <v>22</v>
      </c>
    </row>
    <row r="358" spans="1:12">
      <c r="A358" s="1" t="s">
        <v>2026</v>
      </c>
      <c r="B358" s="2" t="str">
        <f>HYPERLINK("https://docket.philalegal.org/cgi-bin/proxy.pl?ct=210600532","210600532")</f>
        <v>210600532</v>
      </c>
      <c r="C358" s="3" t="s">
        <v>1722</v>
      </c>
      <c r="D358" s="3" t="s">
        <v>26</v>
      </c>
      <c r="E358" s="3" t="s">
        <v>1475</v>
      </c>
      <c r="F358" s="3" t="s">
        <v>1571</v>
      </c>
      <c r="G358" s="3" t="s">
        <v>2027</v>
      </c>
      <c r="H358" s="3"/>
      <c r="I358" s="3" t="s">
        <v>2028</v>
      </c>
      <c r="J358" s="3">
        <v>364204200</v>
      </c>
      <c r="K358" s="3" t="s">
        <v>1532</v>
      </c>
      <c r="L358" t="s">
        <v>22</v>
      </c>
    </row>
    <row r="359" spans="1:12">
      <c r="A359" s="1" t="s">
        <v>2029</v>
      </c>
      <c r="B359" s="2" t="str">
        <f>HYPERLINK("https://docket.philalegal.org/cgi-bin/proxy.pl?ct=220102457","220102457")</f>
        <v>220102457</v>
      </c>
      <c r="C359" s="3" t="s">
        <v>1722</v>
      </c>
      <c r="D359" s="3" t="s">
        <v>26</v>
      </c>
      <c r="E359" s="3" t="s">
        <v>1475</v>
      </c>
      <c r="F359" s="3" t="s">
        <v>357</v>
      </c>
      <c r="G359" s="3" t="s">
        <v>2030</v>
      </c>
      <c r="H359" s="3"/>
      <c r="I359" s="3" t="s">
        <v>2031</v>
      </c>
      <c r="J359" s="3">
        <v>202168100</v>
      </c>
      <c r="K359" s="3" t="s">
        <v>1532</v>
      </c>
      <c r="L359" t="s">
        <v>22</v>
      </c>
    </row>
    <row r="360" spans="1:12">
      <c r="A360" s="1" t="s">
        <v>2032</v>
      </c>
      <c r="B360" s="2" t="str">
        <f>HYPERLINK("https://docket.philalegal.org/cgi-bin/proxy.pl?ct=220200102","220200102")</f>
        <v>220200102</v>
      </c>
      <c r="C360" s="3" t="s">
        <v>1722</v>
      </c>
      <c r="D360" s="3" t="s">
        <v>49</v>
      </c>
      <c r="E360" s="3" t="s">
        <v>1475</v>
      </c>
      <c r="F360" s="3" t="s">
        <v>357</v>
      </c>
      <c r="G360" s="3" t="s">
        <v>2033</v>
      </c>
      <c r="H360" s="3"/>
      <c r="I360" s="3" t="s">
        <v>2034</v>
      </c>
      <c r="J360" s="3">
        <v>202171800</v>
      </c>
      <c r="K360" s="3" t="s">
        <v>2035</v>
      </c>
      <c r="L360" t="s">
        <v>2036</v>
      </c>
    </row>
    <row r="361" spans="1:12">
      <c r="A361" s="1" t="s">
        <v>2037</v>
      </c>
      <c r="B361" s="2" t="str">
        <f>HYPERLINK("https://docket.philalegal.org/cgi-bin/proxy.pl?ct=220200370","220200370")</f>
        <v>220200370</v>
      </c>
      <c r="C361" s="3" t="s">
        <v>1722</v>
      </c>
      <c r="D361" s="3" t="s">
        <v>26</v>
      </c>
      <c r="E361" s="3" t="s">
        <v>1475</v>
      </c>
      <c r="F361" s="3" t="s">
        <v>357</v>
      </c>
      <c r="G361" s="3" t="s">
        <v>2038</v>
      </c>
      <c r="H361" s="3"/>
      <c r="I361" s="3" t="s">
        <v>2039</v>
      </c>
      <c r="J361" s="3">
        <v>323102800</v>
      </c>
      <c r="K361" s="3" t="s">
        <v>2040</v>
      </c>
      <c r="L361" t="s">
        <v>22</v>
      </c>
    </row>
    <row r="362" spans="1:12">
      <c r="A362" s="1" t="s">
        <v>2041</v>
      </c>
      <c r="B362" s="2" t="str">
        <f>HYPERLINK("https://docket.philalegal.org/cgi-bin/proxy.pl?ct=220402295","220402295")</f>
        <v>220402295</v>
      </c>
      <c r="C362" s="3" t="s">
        <v>1722</v>
      </c>
      <c r="D362" s="3" t="s">
        <v>26</v>
      </c>
      <c r="E362" s="3" t="s">
        <v>1475</v>
      </c>
      <c r="F362" s="3" t="s">
        <v>383</v>
      </c>
      <c r="G362" s="3" t="s">
        <v>2042</v>
      </c>
      <c r="H362" s="3"/>
      <c r="I362" s="3" t="s">
        <v>2043</v>
      </c>
      <c r="J362" s="3">
        <v>323095200</v>
      </c>
      <c r="K362" s="3" t="s">
        <v>1532</v>
      </c>
      <c r="L362" t="s">
        <v>22</v>
      </c>
    </row>
    <row r="363" spans="1:12">
      <c r="A363" s="1" t="s">
        <v>2044</v>
      </c>
      <c r="B363" s="2" t="str">
        <f>HYPERLINK("https://docket.philalegal.org/cgi-bin/proxy.pl?ct=220500688","220500688")</f>
        <v>220500688</v>
      </c>
      <c r="C363" s="3" t="s">
        <v>1722</v>
      </c>
      <c r="D363" s="3" t="s">
        <v>26</v>
      </c>
      <c r="E363" s="3" t="s">
        <v>1475</v>
      </c>
      <c r="F363" s="3" t="s">
        <v>383</v>
      </c>
      <c r="G363" s="3" t="s">
        <v>2045</v>
      </c>
      <c r="H363" s="3" t="s">
        <v>2046</v>
      </c>
      <c r="I363" s="3" t="s">
        <v>2047</v>
      </c>
      <c r="J363" s="3">
        <v>365374700</v>
      </c>
      <c r="K363" s="3" t="s">
        <v>1532</v>
      </c>
      <c r="L363" t="s">
        <v>22</v>
      </c>
    </row>
    <row r="364" spans="1:12">
      <c r="A364" s="1" t="s">
        <v>2048</v>
      </c>
      <c r="B364" s="2" t="str">
        <f>HYPERLINK("https://docket.philalegal.org/cgi-bin/proxy.pl?ct=220501899","220501899")</f>
        <v>220501899</v>
      </c>
      <c r="C364" s="3" t="s">
        <v>1722</v>
      </c>
      <c r="D364" s="3" t="s">
        <v>26</v>
      </c>
      <c r="E364" s="3" t="s">
        <v>1475</v>
      </c>
      <c r="F364" s="3" t="s">
        <v>783</v>
      </c>
      <c r="G364" s="3" t="s">
        <v>2049</v>
      </c>
      <c r="H364" s="3"/>
      <c r="I364" s="3" t="s">
        <v>1362</v>
      </c>
      <c r="J364" s="3">
        <v>202161801</v>
      </c>
      <c r="K364" s="3" t="s">
        <v>1532</v>
      </c>
      <c r="L364" t="s">
        <v>22</v>
      </c>
    </row>
    <row r="365" spans="1:12">
      <c r="A365" s="1" t="s">
        <v>2050</v>
      </c>
      <c r="B365" s="2" t="str">
        <f>HYPERLINK("https://docket.philalegal.org/cgi-bin/proxy.pl?ct=220601131","220601131")</f>
        <v>220601131</v>
      </c>
      <c r="C365" s="3" t="s">
        <v>1722</v>
      </c>
      <c r="D365" s="3" t="s">
        <v>49</v>
      </c>
      <c r="E365" s="3" t="s">
        <v>1475</v>
      </c>
      <c r="F365" s="3" t="s">
        <v>383</v>
      </c>
      <c r="G365" s="3" t="s">
        <v>2051</v>
      </c>
      <c r="H365" s="3" t="s">
        <v>2052</v>
      </c>
      <c r="I365" s="3" t="s">
        <v>1761</v>
      </c>
      <c r="J365" s="3">
        <v>123214400</v>
      </c>
      <c r="K365" s="3" t="s">
        <v>2053</v>
      </c>
      <c r="L365" t="s">
        <v>1981</v>
      </c>
    </row>
    <row r="366" spans="1:12">
      <c r="A366" s="1" t="s">
        <v>2054</v>
      </c>
      <c r="B366" s="2" t="str">
        <f>HYPERLINK("https://docket.philalegal.org/cgi-bin/proxy.pl?ct=220602719","220602719")</f>
        <v>220602719</v>
      </c>
      <c r="C366" s="3" t="s">
        <v>1722</v>
      </c>
      <c r="D366" s="3" t="s">
        <v>26</v>
      </c>
      <c r="E366" s="3" t="s">
        <v>1475</v>
      </c>
      <c r="F366" s="3" t="s">
        <v>383</v>
      </c>
      <c r="G366" s="3" t="s">
        <v>2055</v>
      </c>
      <c r="H366" s="3" t="s">
        <v>2056</v>
      </c>
      <c r="I366" s="3" t="s">
        <v>2057</v>
      </c>
      <c r="J366" s="3">
        <v>361300100</v>
      </c>
      <c r="K366" s="3" t="s">
        <v>1532</v>
      </c>
      <c r="L366" t="s">
        <v>22</v>
      </c>
    </row>
    <row r="367" spans="1:12">
      <c r="A367" s="1" t="s">
        <v>2058</v>
      </c>
      <c r="B367" s="2" t="str">
        <f>HYPERLINK("https://docket.philalegal.org/cgi-bin/proxy.pl?ct=220700187","220700187")</f>
        <v>220700187</v>
      </c>
      <c r="C367" s="3" t="s">
        <v>1722</v>
      </c>
      <c r="D367" s="3" t="s">
        <v>656</v>
      </c>
      <c r="E367" s="3" t="s">
        <v>1475</v>
      </c>
      <c r="F367" s="3" t="s">
        <v>783</v>
      </c>
      <c r="G367" s="3" t="s">
        <v>2059</v>
      </c>
      <c r="H367" s="3"/>
      <c r="I367" s="3" t="s">
        <v>2060</v>
      </c>
      <c r="J367" s="3">
        <v>202137400</v>
      </c>
      <c r="K367" s="3" t="s">
        <v>2061</v>
      </c>
      <c r="L367" t="s">
        <v>2062</v>
      </c>
    </row>
    <row r="368" spans="1:12">
      <c r="A368" s="1" t="s">
        <v>2063</v>
      </c>
      <c r="B368" s="2" t="str">
        <f>HYPERLINK("https://docket.philalegal.org/cgi-bin/proxy.pl?ct=220701363","220701363")</f>
        <v>220701363</v>
      </c>
      <c r="C368" s="3" t="s">
        <v>1722</v>
      </c>
      <c r="D368" s="3" t="s">
        <v>49</v>
      </c>
      <c r="E368" s="3" t="s">
        <v>1475</v>
      </c>
      <c r="F368" s="3" t="s">
        <v>383</v>
      </c>
      <c r="G368" s="3" t="s">
        <v>2064</v>
      </c>
      <c r="H368" s="3" t="s">
        <v>2065</v>
      </c>
      <c r="I368" s="3" t="s">
        <v>2066</v>
      </c>
      <c r="J368" s="3">
        <v>363023400</v>
      </c>
      <c r="K368" s="3" t="s">
        <v>2067</v>
      </c>
      <c r="L368" t="s">
        <v>22</v>
      </c>
    </row>
    <row r="369" spans="1:12">
      <c r="A369" s="1" t="s">
        <v>2068</v>
      </c>
      <c r="B369" s="2" t="str">
        <f>HYPERLINK("https://docket.philalegal.org/cgi-bin/proxy.pl?ct=220701670","220701670")</f>
        <v>220701670</v>
      </c>
      <c r="C369" s="3" t="s">
        <v>1722</v>
      </c>
      <c r="D369" s="3" t="s">
        <v>49</v>
      </c>
      <c r="E369" s="3" t="s">
        <v>1475</v>
      </c>
      <c r="F369" s="3" t="s">
        <v>383</v>
      </c>
      <c r="G369" s="3" t="s">
        <v>2069</v>
      </c>
      <c r="H369" s="3"/>
      <c r="I369" s="3" t="s">
        <v>2070</v>
      </c>
      <c r="J369" s="3">
        <v>365284700</v>
      </c>
      <c r="K369" s="3" t="s">
        <v>2071</v>
      </c>
      <c r="L369" t="s">
        <v>209</v>
      </c>
    </row>
    <row r="370" spans="1:12">
      <c r="A370" s="1" t="s">
        <v>2072</v>
      </c>
      <c r="B370" s="2" t="str">
        <f>HYPERLINK("https://docket.philalegal.org/cgi-bin/proxy.pl?ct=220701938","220701938")</f>
        <v>220701938</v>
      </c>
      <c r="C370" s="3" t="s">
        <v>1722</v>
      </c>
      <c r="D370" s="3" t="s">
        <v>656</v>
      </c>
      <c r="E370" s="3" t="s">
        <v>1475</v>
      </c>
      <c r="F370" s="3" t="s">
        <v>783</v>
      </c>
      <c r="G370" s="3" t="s">
        <v>2059</v>
      </c>
      <c r="H370" s="3"/>
      <c r="I370" s="3" t="s">
        <v>2073</v>
      </c>
      <c r="J370" s="3">
        <v>273066700</v>
      </c>
      <c r="K370" s="3" t="s">
        <v>2074</v>
      </c>
      <c r="L370" t="s">
        <v>2062</v>
      </c>
    </row>
    <row r="371" spans="1:12">
      <c r="A371" s="1" t="s">
        <v>2075</v>
      </c>
      <c r="B371" s="2" t="str">
        <f>HYPERLINK("https://docket.philalegal.org/cgi-bin/proxy.pl?ct=220702672","220702672")</f>
        <v>220702672</v>
      </c>
      <c r="C371" s="3" t="s">
        <v>1722</v>
      </c>
      <c r="D371" s="3" t="s">
        <v>49</v>
      </c>
      <c r="E371" s="3" t="s">
        <v>1475</v>
      </c>
      <c r="F371" s="3" t="s">
        <v>383</v>
      </c>
      <c r="G371" s="3" t="s">
        <v>2076</v>
      </c>
      <c r="H371" s="3"/>
      <c r="I371" s="3" t="s">
        <v>2077</v>
      </c>
      <c r="J371" s="3">
        <v>323082100</v>
      </c>
      <c r="K371" s="3" t="s">
        <v>2078</v>
      </c>
      <c r="L371" t="s">
        <v>46</v>
      </c>
    </row>
    <row r="372" spans="1:12">
      <c r="A372" s="1" t="s">
        <v>2079</v>
      </c>
      <c r="B372" s="2" t="str">
        <f>HYPERLINK("https://docket.philalegal.org/cgi-bin/proxy.pl?ct=220801962","220801962")</f>
        <v>220801962</v>
      </c>
      <c r="C372" s="3" t="s">
        <v>1722</v>
      </c>
      <c r="D372" s="3" t="s">
        <v>656</v>
      </c>
      <c r="E372" s="3" t="s">
        <v>1475</v>
      </c>
      <c r="F372" s="3" t="s">
        <v>783</v>
      </c>
      <c r="G372" s="3" t="s">
        <v>2080</v>
      </c>
      <c r="H372" s="3"/>
      <c r="I372" s="3" t="s">
        <v>2081</v>
      </c>
      <c r="J372" s="3">
        <v>202137000</v>
      </c>
      <c r="K372" s="3" t="s">
        <v>2082</v>
      </c>
      <c r="L372" t="s">
        <v>22</v>
      </c>
    </row>
    <row r="373" spans="1:12">
      <c r="A373" s="1" t="s">
        <v>2083</v>
      </c>
      <c r="B373" s="2" t="str">
        <f>HYPERLINK("https://docket.philalegal.org/cgi-bin/proxy.pl?ct=220802728","220802728")</f>
        <v>220802728</v>
      </c>
      <c r="C373" s="3" t="s">
        <v>1722</v>
      </c>
      <c r="D373" s="3" t="s">
        <v>49</v>
      </c>
      <c r="E373" s="3" t="s">
        <v>1475</v>
      </c>
      <c r="F373" s="3" t="s">
        <v>783</v>
      </c>
      <c r="G373" s="3" t="s">
        <v>2084</v>
      </c>
      <c r="H373" s="3" t="s">
        <v>1825</v>
      </c>
      <c r="I373" s="3" t="s">
        <v>2085</v>
      </c>
      <c r="J373" s="3">
        <v>772021395</v>
      </c>
      <c r="K373" s="3" t="s">
        <v>2086</v>
      </c>
      <c r="L373" t="s">
        <v>46</v>
      </c>
    </row>
    <row r="374" spans="1:12">
      <c r="A374" s="1" t="s">
        <v>2087</v>
      </c>
      <c r="B374" s="2" t="str">
        <f>HYPERLINK("https://docket.philalegal.org/cgi-bin/proxy.pl?ct=220802739","220802739")</f>
        <v>220802739</v>
      </c>
      <c r="C374" s="3" t="s">
        <v>1722</v>
      </c>
      <c r="D374" s="3" t="s">
        <v>656</v>
      </c>
      <c r="E374" s="3" t="s">
        <v>1475</v>
      </c>
      <c r="F374" s="3" t="s">
        <v>383</v>
      </c>
      <c r="G374" s="3" t="s">
        <v>2088</v>
      </c>
      <c r="H374" s="3" t="s">
        <v>2089</v>
      </c>
      <c r="I374" s="3" t="s">
        <v>2090</v>
      </c>
      <c r="J374" s="3">
        <v>361386300</v>
      </c>
      <c r="K374" s="3" t="s">
        <v>2091</v>
      </c>
      <c r="L374" t="s">
        <v>46</v>
      </c>
    </row>
    <row r="375" spans="1:12">
      <c r="A375" s="1" t="s">
        <v>2092</v>
      </c>
      <c r="B375" s="2" t="str">
        <f>HYPERLINK("https://docket.philalegal.org/cgi-bin/proxy.pl?ct=220900211","220900211")</f>
        <v>220900211</v>
      </c>
      <c r="C375" s="3" t="s">
        <v>1722</v>
      </c>
      <c r="D375" s="3" t="s">
        <v>26</v>
      </c>
      <c r="E375" s="3" t="s">
        <v>1475</v>
      </c>
      <c r="F375" s="3" t="s">
        <v>383</v>
      </c>
      <c r="G375" s="3" t="s">
        <v>2093</v>
      </c>
      <c r="H375" s="3"/>
      <c r="I375" s="3" t="s">
        <v>2094</v>
      </c>
      <c r="J375" s="3">
        <v>322140800</v>
      </c>
      <c r="K375" s="3" t="s">
        <v>1532</v>
      </c>
      <c r="L375" t="s">
        <v>22</v>
      </c>
    </row>
    <row r="376" spans="1:12">
      <c r="A376" s="1" t="s">
        <v>2095</v>
      </c>
      <c r="B376" s="2" t="str">
        <f>HYPERLINK("https://docket.philalegal.org/cgi-bin/proxy.pl?ct=220900223","220900223")</f>
        <v>220900223</v>
      </c>
      <c r="C376" s="3" t="s">
        <v>1722</v>
      </c>
      <c r="D376" s="3" t="s">
        <v>26</v>
      </c>
      <c r="E376" s="3" t="s">
        <v>1475</v>
      </c>
      <c r="F376" s="3" t="s">
        <v>383</v>
      </c>
      <c r="G376" s="3" t="s">
        <v>2096</v>
      </c>
      <c r="H376" s="3"/>
      <c r="I376" s="3" t="s">
        <v>2097</v>
      </c>
      <c r="J376" s="3">
        <v>322140700</v>
      </c>
      <c r="K376" s="3" t="s">
        <v>1532</v>
      </c>
      <c r="L376" t="s">
        <v>22</v>
      </c>
    </row>
    <row r="377" spans="1:12">
      <c r="A377" s="1" t="s">
        <v>2098</v>
      </c>
      <c r="B377" s="2" t="str">
        <f>HYPERLINK("https://docket.philalegal.org/cgi-bin/proxy.pl?ct=220900314","220900314")</f>
        <v>220900314</v>
      </c>
      <c r="C377" s="3" t="s">
        <v>1722</v>
      </c>
      <c r="D377" s="3" t="s">
        <v>656</v>
      </c>
      <c r="E377" s="3" t="s">
        <v>1475</v>
      </c>
      <c r="F377" s="3" t="s">
        <v>783</v>
      </c>
      <c r="G377" s="3" t="s">
        <v>2099</v>
      </c>
      <c r="H377" s="3"/>
      <c r="I377" s="3" t="s">
        <v>2100</v>
      </c>
      <c r="J377" s="3" t="s">
        <v>2101</v>
      </c>
      <c r="K377" s="3" t="s">
        <v>2102</v>
      </c>
      <c r="L377" t="s">
        <v>2062</v>
      </c>
    </row>
    <row r="378" spans="1:12">
      <c r="A378" s="1" t="s">
        <v>2103</v>
      </c>
      <c r="B378" s="2" t="str">
        <f>HYPERLINK("https://docket.philalegal.org/cgi-bin/proxy.pl?ct=220900919","220900919")</f>
        <v>220900919</v>
      </c>
      <c r="C378" s="3" t="s">
        <v>1722</v>
      </c>
      <c r="D378" s="3" t="s">
        <v>49</v>
      </c>
      <c r="E378" s="3" t="s">
        <v>1475</v>
      </c>
      <c r="F378" s="3" t="s">
        <v>383</v>
      </c>
      <c r="G378" s="3" t="s">
        <v>2104</v>
      </c>
      <c r="H378" s="3"/>
      <c r="I378" s="3" t="s">
        <v>2105</v>
      </c>
      <c r="J378" s="3">
        <v>291279800</v>
      </c>
      <c r="K378" s="3" t="s">
        <v>2106</v>
      </c>
      <c r="L378" t="s">
        <v>2062</v>
      </c>
    </row>
    <row r="379" spans="1:12">
      <c r="A379" s="1" t="s">
        <v>2107</v>
      </c>
      <c r="B379" s="2" t="str">
        <f>HYPERLINK("https://docket.philalegal.org/cgi-bin/proxy.pl?ct=220902253","220902253")</f>
        <v>220902253</v>
      </c>
      <c r="C379" s="3" t="s">
        <v>1722</v>
      </c>
      <c r="D379" s="3" t="s">
        <v>656</v>
      </c>
      <c r="E379" s="3" t="s">
        <v>1475</v>
      </c>
      <c r="F379" s="3" t="s">
        <v>783</v>
      </c>
      <c r="G379" s="3" t="s">
        <v>2108</v>
      </c>
      <c r="H379" s="3" t="s">
        <v>2109</v>
      </c>
      <c r="I379" s="3" t="s">
        <v>2110</v>
      </c>
      <c r="J379" s="3">
        <v>472079405</v>
      </c>
      <c r="K379" s="3" t="s">
        <v>2111</v>
      </c>
      <c r="L379" t="s">
        <v>46</v>
      </c>
    </row>
    <row r="380" spans="1:12">
      <c r="A380" s="1" t="s">
        <v>2112</v>
      </c>
      <c r="B380" s="2" t="str">
        <f>HYPERLINK("https://docket.philalegal.org/cgi-bin/proxy.pl?ct=221100410","221100410")</f>
        <v>221100410</v>
      </c>
      <c r="C380" s="3" t="s">
        <v>1722</v>
      </c>
      <c r="D380" s="3" t="s">
        <v>656</v>
      </c>
      <c r="E380" s="3" t="s">
        <v>1475</v>
      </c>
      <c r="F380" s="3" t="s">
        <v>783</v>
      </c>
      <c r="G380" s="3" t="s">
        <v>2113</v>
      </c>
      <c r="H380" s="3"/>
      <c r="I380" s="3" t="s">
        <v>2114</v>
      </c>
      <c r="J380" s="3">
        <v>323171600</v>
      </c>
      <c r="K380" s="3" t="s">
        <v>2115</v>
      </c>
      <c r="L380" t="s">
        <v>2062</v>
      </c>
    </row>
    <row r="381" spans="1:12">
      <c r="A381" s="1" t="s">
        <v>2116</v>
      </c>
      <c r="B381" s="2" t="str">
        <f>HYPERLINK("https://docket.philalegal.org/cgi-bin/proxy.pl?ct=190500088","190500088")</f>
        <v>190500088</v>
      </c>
      <c r="C381" s="3" t="s">
        <v>2117</v>
      </c>
      <c r="D381" s="3" t="s">
        <v>26</v>
      </c>
      <c r="E381" s="3" t="s">
        <v>1475</v>
      </c>
      <c r="F381" s="3" t="s">
        <v>2118</v>
      </c>
      <c r="G381" s="3" t="s">
        <v>2119</v>
      </c>
      <c r="H381" s="3" t="s">
        <v>2010</v>
      </c>
      <c r="I381" s="3" t="s">
        <v>2120</v>
      </c>
      <c r="J381" s="3">
        <v>291117300</v>
      </c>
      <c r="K381" s="3" t="s">
        <v>1532</v>
      </c>
      <c r="L381" t="s">
        <v>22</v>
      </c>
    </row>
    <row r="382" spans="1:12">
      <c r="A382" s="1" t="s">
        <v>2121</v>
      </c>
      <c r="B382" s="2" t="str">
        <f>HYPERLINK("https://docket.philalegal.org/cgi-bin/proxy.pl?ct=221102754","221102754")</f>
        <v>221102754</v>
      </c>
      <c r="C382" s="3" t="s">
        <v>2122</v>
      </c>
      <c r="D382" s="3" t="s">
        <v>49</v>
      </c>
      <c r="E382" s="3" t="s">
        <v>2123</v>
      </c>
      <c r="F382" s="3" t="s">
        <v>335</v>
      </c>
      <c r="G382" s="3" t="s">
        <v>2124</v>
      </c>
      <c r="H382" s="3"/>
      <c r="I382" s="3" t="s">
        <v>2125</v>
      </c>
      <c r="J382" s="3">
        <v>482218900</v>
      </c>
      <c r="K382" s="3" t="s">
        <v>2126</v>
      </c>
      <c r="L382" t="s">
        <v>46</v>
      </c>
    </row>
    <row r="383" spans="1:12">
      <c r="A383" s="1" t="s">
        <v>2127</v>
      </c>
      <c r="B383" s="2" t="str">
        <f>HYPERLINK("https://docket.philalegal.org/cgi-bin/proxy.pl?ct=221001185","221001185")</f>
        <v>221001185</v>
      </c>
      <c r="C383" s="3" t="s">
        <v>2128</v>
      </c>
      <c r="D383" s="3" t="s">
        <v>49</v>
      </c>
      <c r="E383" s="3" t="s">
        <v>2123</v>
      </c>
      <c r="F383" s="3" t="s">
        <v>375</v>
      </c>
      <c r="G383" s="3" t="s">
        <v>2129</v>
      </c>
      <c r="H383" s="3"/>
      <c r="I383" s="3" t="s">
        <v>2130</v>
      </c>
      <c r="J383" s="3">
        <v>482087900</v>
      </c>
      <c r="K383" s="3" t="s">
        <v>2131</v>
      </c>
      <c r="L383" t="s">
        <v>46</v>
      </c>
    </row>
    <row r="384" spans="1:12">
      <c r="A384" s="1" t="s">
        <v>2132</v>
      </c>
      <c r="B384" s="2" t="str">
        <f>HYPERLINK("https://docket.philalegal.org/cgi-bin/proxy.pl?ct=221200062","221200062")</f>
        <v>221200062</v>
      </c>
      <c r="C384" s="3" t="s">
        <v>2133</v>
      </c>
      <c r="D384" s="3" t="s">
        <v>49</v>
      </c>
      <c r="E384" s="3" t="s">
        <v>2123</v>
      </c>
      <c r="F384" s="3" t="s">
        <v>335</v>
      </c>
      <c r="G384" s="3" t="s">
        <v>2134</v>
      </c>
      <c r="H384" s="3"/>
      <c r="I384" s="3" t="s">
        <v>2135</v>
      </c>
      <c r="J384" s="3">
        <v>364394300</v>
      </c>
      <c r="K384" s="3" t="s">
        <v>2136</v>
      </c>
      <c r="L384" t="s">
        <v>46</v>
      </c>
    </row>
    <row r="385" spans="1:12">
      <c r="A385" s="1" t="s">
        <v>2137</v>
      </c>
      <c r="B385" s="2" t="str">
        <f>HYPERLINK("https://docket.philalegal.org/cgi-bin/proxy.pl?ct=220900239","220900239")</f>
        <v>220900239</v>
      </c>
      <c r="C385" s="3" t="s">
        <v>2138</v>
      </c>
      <c r="D385" s="3" t="s">
        <v>656</v>
      </c>
      <c r="E385" s="3" t="s">
        <v>2123</v>
      </c>
      <c r="F385" s="3" t="s">
        <v>375</v>
      </c>
      <c r="G385" s="3" t="s">
        <v>2139</v>
      </c>
      <c r="H385" s="3" t="s">
        <v>17</v>
      </c>
      <c r="I385" s="3" t="s">
        <v>2140</v>
      </c>
      <c r="J385" s="3">
        <v>773203000</v>
      </c>
      <c r="K385" s="3" t="s">
        <v>2141</v>
      </c>
      <c r="L385" t="s">
        <v>46</v>
      </c>
    </row>
    <row r="386" spans="1:12">
      <c r="A386" s="1" t="s">
        <v>2142</v>
      </c>
      <c r="B386" s="2" t="str">
        <f>HYPERLINK("https://docket.philalegal.org/cgi-bin/proxy.pl?ct=221200206","221200206")</f>
        <v>221200206</v>
      </c>
      <c r="C386" s="3" t="s">
        <v>2143</v>
      </c>
      <c r="D386" s="3" t="s">
        <v>61</v>
      </c>
      <c r="E386" s="3" t="s">
        <v>2123</v>
      </c>
      <c r="F386" s="3" t="s">
        <v>335</v>
      </c>
      <c r="G386" s="3" t="s">
        <v>2144</v>
      </c>
      <c r="H386" s="3"/>
      <c r="I386" s="3" t="s">
        <v>2145</v>
      </c>
      <c r="J386" s="3">
        <v>481098500</v>
      </c>
      <c r="K386" s="3" t="s">
        <v>2146</v>
      </c>
      <c r="L386" t="s">
        <v>46</v>
      </c>
    </row>
    <row r="387" spans="1:12">
      <c r="A387" s="1" t="s">
        <v>2147</v>
      </c>
      <c r="B387" s="2" t="str">
        <f>HYPERLINK("https://docket.philalegal.org/cgi-bin/proxy.pl?ct=221101272","221101272")</f>
        <v>221101272</v>
      </c>
      <c r="C387" s="3" t="s">
        <v>2148</v>
      </c>
      <c r="D387" s="3" t="s">
        <v>656</v>
      </c>
      <c r="E387" s="3" t="s">
        <v>2123</v>
      </c>
      <c r="F387" s="3" t="s">
        <v>335</v>
      </c>
      <c r="G387" s="3" t="s">
        <v>2149</v>
      </c>
      <c r="H387" s="3"/>
      <c r="I387" s="3" t="s">
        <v>2150</v>
      </c>
      <c r="J387" s="3">
        <v>871548690</v>
      </c>
      <c r="K387" s="3" t="s">
        <v>2151</v>
      </c>
      <c r="L387" t="s">
        <v>46</v>
      </c>
    </row>
    <row r="388" spans="1:12">
      <c r="A388" s="1" t="s">
        <v>2152</v>
      </c>
      <c r="B388" s="2" t="str">
        <f>HYPERLINK("https://docket.philalegal.org/cgi-bin/proxy.pl?ct=220702671","220702671")</f>
        <v>220702671</v>
      </c>
      <c r="C388" s="3" t="s">
        <v>2153</v>
      </c>
      <c r="D388" s="3" t="s">
        <v>656</v>
      </c>
      <c r="E388" s="3" t="s">
        <v>2123</v>
      </c>
      <c r="F388" s="3" t="s">
        <v>2154</v>
      </c>
      <c r="G388" s="3" t="s">
        <v>2155</v>
      </c>
      <c r="H388" s="3" t="s">
        <v>2156</v>
      </c>
      <c r="I388" s="3" t="s">
        <v>2157</v>
      </c>
      <c r="J388" s="3">
        <v>361033205</v>
      </c>
      <c r="K388" s="3" t="s">
        <v>2158</v>
      </c>
      <c r="L388" t="s">
        <v>46</v>
      </c>
    </row>
    <row r="389" spans="1:12">
      <c r="A389" s="1" t="s">
        <v>2159</v>
      </c>
      <c r="B389" s="2" t="str">
        <f>HYPERLINK("https://docket.philalegal.org/cgi-bin/proxy.pl?ct=220800514","220800514")</f>
        <v>220800514</v>
      </c>
      <c r="C389" s="3" t="s">
        <v>2153</v>
      </c>
      <c r="D389" s="3" t="s">
        <v>49</v>
      </c>
      <c r="E389" s="3" t="s">
        <v>2123</v>
      </c>
      <c r="F389" s="3" t="s">
        <v>2154</v>
      </c>
      <c r="G389" s="3" t="s">
        <v>2155</v>
      </c>
      <c r="H389" s="3" t="s">
        <v>2156</v>
      </c>
      <c r="I389" s="3" t="s">
        <v>2160</v>
      </c>
      <c r="J389" s="3">
        <v>361033305</v>
      </c>
      <c r="K389" s="3" t="s">
        <v>2158</v>
      </c>
      <c r="L389" t="s">
        <v>46</v>
      </c>
    </row>
    <row r="390" spans="1:12">
      <c r="A390" s="1" t="s">
        <v>2161</v>
      </c>
      <c r="B390" s="2" t="str">
        <f>HYPERLINK("https://docket.philalegal.org/cgi-bin/proxy.pl?ct=211101733","211101733")</f>
        <v>211101733</v>
      </c>
      <c r="C390" s="3" t="s">
        <v>2162</v>
      </c>
      <c r="D390" s="3" t="s">
        <v>26</v>
      </c>
      <c r="E390" s="3" t="s">
        <v>2123</v>
      </c>
      <c r="F390" s="3" t="s">
        <v>2163</v>
      </c>
      <c r="G390" s="3" t="s">
        <v>2164</v>
      </c>
      <c r="H390" s="3" t="s">
        <v>1926</v>
      </c>
      <c r="I390" s="3" t="s">
        <v>2165</v>
      </c>
      <c r="J390" s="3">
        <v>302175400</v>
      </c>
      <c r="K390" s="3" t="s">
        <v>2166</v>
      </c>
      <c r="L390" t="s">
        <v>22</v>
      </c>
    </row>
    <row r="391" spans="1:12">
      <c r="A391" s="1" t="s">
        <v>2167</v>
      </c>
      <c r="B391" s="2" t="str">
        <f>HYPERLINK("https://docket.philalegal.org/cgi-bin/proxy.pl?ct=220301416","220301416")</f>
        <v>220301416</v>
      </c>
      <c r="C391" s="3" t="s">
        <v>2168</v>
      </c>
      <c r="D391" s="3" t="s">
        <v>26</v>
      </c>
      <c r="E391" s="3" t="s">
        <v>2123</v>
      </c>
      <c r="F391" s="3" t="s">
        <v>1571</v>
      </c>
      <c r="G391" s="3" t="s">
        <v>2169</v>
      </c>
      <c r="H391" s="3"/>
      <c r="I391" s="3" t="s">
        <v>2170</v>
      </c>
      <c r="J391" s="3">
        <v>302100800</v>
      </c>
      <c r="K391" s="3" t="s">
        <v>2171</v>
      </c>
      <c r="L391" t="s">
        <v>22</v>
      </c>
    </row>
    <row r="392" spans="1:12">
      <c r="A392" s="1" t="s">
        <v>2172</v>
      </c>
      <c r="B392" s="2" t="str">
        <f>HYPERLINK("https://docket.philalegal.org/cgi-bin/proxy.pl?ct=220202778","220202778")</f>
        <v>220202778</v>
      </c>
      <c r="C392" s="3" t="s">
        <v>2173</v>
      </c>
      <c r="D392" s="3" t="s">
        <v>26</v>
      </c>
      <c r="E392" s="3" t="s">
        <v>2123</v>
      </c>
      <c r="F392" s="3" t="s">
        <v>357</v>
      </c>
      <c r="G392" s="3" t="s">
        <v>2174</v>
      </c>
      <c r="H392" s="3" t="s">
        <v>890</v>
      </c>
      <c r="I392" s="3" t="s">
        <v>2175</v>
      </c>
      <c r="J392" s="3">
        <v>365402700</v>
      </c>
      <c r="K392" s="3" t="s">
        <v>2176</v>
      </c>
      <c r="L392" t="s">
        <v>22</v>
      </c>
    </row>
    <row r="393" spans="1:12">
      <c r="A393" s="1" t="s">
        <v>2177</v>
      </c>
      <c r="B393" s="2" t="str">
        <f>HYPERLINK("https://docket.philalegal.org/cgi-bin/proxy.pl?ct=220900665","220900665")</f>
        <v>220900665</v>
      </c>
      <c r="C393" s="3" t="s">
        <v>2178</v>
      </c>
      <c r="D393" s="3" t="s">
        <v>26</v>
      </c>
      <c r="E393" s="3" t="s">
        <v>2123</v>
      </c>
      <c r="F393" s="3" t="s">
        <v>2179</v>
      </c>
      <c r="G393" s="3" t="s">
        <v>2180</v>
      </c>
      <c r="H393" s="3"/>
      <c r="I393" s="3" t="s">
        <v>2181</v>
      </c>
      <c r="J393" s="3">
        <v>871288000</v>
      </c>
      <c r="K393" s="3" t="s">
        <v>2171</v>
      </c>
      <c r="L393" t="s">
        <v>22</v>
      </c>
    </row>
    <row r="394" spans="1:12">
      <c r="A394" s="1" t="s">
        <v>2182</v>
      </c>
      <c r="B394" s="2" t="str">
        <f>HYPERLINK("https://docket.philalegal.org/cgi-bin/proxy.pl?ct=220501706","220501706")</f>
        <v>220501706</v>
      </c>
      <c r="C394" s="3" t="s">
        <v>2183</v>
      </c>
      <c r="D394" s="3" t="s">
        <v>26</v>
      </c>
      <c r="E394" s="3" t="s">
        <v>2123</v>
      </c>
      <c r="F394" s="3" t="s">
        <v>357</v>
      </c>
      <c r="G394" s="3" t="s">
        <v>2184</v>
      </c>
      <c r="H394" s="3"/>
      <c r="I394" s="3" t="s">
        <v>2150</v>
      </c>
      <c r="J394" s="3">
        <v>871548690</v>
      </c>
      <c r="K394" s="3" t="s">
        <v>2171</v>
      </c>
      <c r="L394" t="s">
        <v>22</v>
      </c>
    </row>
    <row r="395" spans="1:12">
      <c r="A395" s="1" t="s">
        <v>2185</v>
      </c>
      <c r="B395" s="2" t="str">
        <f>HYPERLINK("https://docket.philalegal.org/cgi-bin/proxy.pl?ct=211100110","211100110")</f>
        <v>211100110</v>
      </c>
      <c r="C395" s="3" t="s">
        <v>2186</v>
      </c>
      <c r="D395" s="3" t="s">
        <v>49</v>
      </c>
      <c r="E395" s="3" t="s">
        <v>2123</v>
      </c>
      <c r="F395" s="3" t="s">
        <v>357</v>
      </c>
      <c r="G395" s="3" t="s">
        <v>2187</v>
      </c>
      <c r="H395" s="3" t="s">
        <v>762</v>
      </c>
      <c r="I395" s="3" t="s">
        <v>2188</v>
      </c>
      <c r="J395" s="3">
        <v>302084300</v>
      </c>
      <c r="K395" s="3" t="s">
        <v>2189</v>
      </c>
      <c r="L395" t="s">
        <v>1600</v>
      </c>
    </row>
    <row r="396" spans="1:12">
      <c r="A396" s="1" t="s">
        <v>2190</v>
      </c>
      <c r="B396" s="2" t="str">
        <f>HYPERLINK("https://docket.philalegal.org/cgi-bin/proxy.pl?ct=221001674","221001674")</f>
        <v>221001674</v>
      </c>
      <c r="C396" s="3" t="s">
        <v>2191</v>
      </c>
      <c r="D396" s="3" t="s">
        <v>656</v>
      </c>
      <c r="E396" s="3" t="s">
        <v>2192</v>
      </c>
      <c r="F396" s="3" t="s">
        <v>2193</v>
      </c>
      <c r="G396" s="3" t="s">
        <v>1215</v>
      </c>
      <c r="H396" s="3"/>
      <c r="I396" s="3" t="s">
        <v>1216</v>
      </c>
      <c r="J396" s="3">
        <v>601012400</v>
      </c>
      <c r="K396" s="3" t="s">
        <v>2194</v>
      </c>
      <c r="L396" t="s">
        <v>46</v>
      </c>
    </row>
    <row r="397" spans="1:12">
      <c r="A397" s="1" t="s">
        <v>2195</v>
      </c>
      <c r="B397" s="2" t="str">
        <f>HYPERLINK("https://docket.philalegal.org/cgi-bin/proxy.pl?ct=210901864","210901864")</f>
        <v>210901864</v>
      </c>
      <c r="C397" s="3" t="s">
        <v>2196</v>
      </c>
      <c r="D397" s="3" t="s">
        <v>26</v>
      </c>
      <c r="E397" s="3" t="s">
        <v>2197</v>
      </c>
      <c r="F397" s="3" t="s">
        <v>2198</v>
      </c>
      <c r="G397" s="3" t="s">
        <v>2199</v>
      </c>
      <c r="H397" s="3" t="s">
        <v>1702</v>
      </c>
      <c r="I397" s="3" t="s">
        <v>2200</v>
      </c>
      <c r="J397" s="3">
        <v>884345125</v>
      </c>
      <c r="K397" s="3" t="s">
        <v>2201</v>
      </c>
      <c r="L397" t="s">
        <v>22</v>
      </c>
    </row>
    <row r="398" spans="1:12">
      <c r="A398" s="1" t="s">
        <v>2202</v>
      </c>
      <c r="B398" s="2" t="str">
        <f>HYPERLINK("https://docket.philalegal.org/cgi-bin/proxy.pl?ct=220300748","220300748")</f>
        <v>220300748</v>
      </c>
      <c r="C398" s="3" t="s">
        <v>2196</v>
      </c>
      <c r="D398" s="3" t="s">
        <v>96</v>
      </c>
      <c r="E398" s="3" t="s">
        <v>2197</v>
      </c>
      <c r="F398" s="3" t="s">
        <v>2203</v>
      </c>
      <c r="G398" s="3" t="s">
        <v>2204</v>
      </c>
      <c r="H398" s="3"/>
      <c r="I398" s="3" t="s">
        <v>2205</v>
      </c>
      <c r="J398" s="3">
        <v>461005500</v>
      </c>
      <c r="K398" s="3" t="s">
        <v>2206</v>
      </c>
      <c r="L398" t="s">
        <v>2207</v>
      </c>
    </row>
    <row r="399" spans="1:12">
      <c r="A399" s="1" t="s">
        <v>2208</v>
      </c>
      <c r="B399" s="2" t="str">
        <f>HYPERLINK("https://docket.philalegal.org/cgi-bin/proxy.pl?ct=220500073","220500073")</f>
        <v>220500073</v>
      </c>
      <c r="C399" s="3" t="s">
        <v>2196</v>
      </c>
      <c r="D399" s="3" t="s">
        <v>656</v>
      </c>
      <c r="E399" s="3" t="s">
        <v>2197</v>
      </c>
      <c r="F399" s="3" t="s">
        <v>357</v>
      </c>
      <c r="G399" s="3" t="s">
        <v>2209</v>
      </c>
      <c r="H399" s="3"/>
      <c r="I399" s="3" t="s">
        <v>2210</v>
      </c>
      <c r="J399" s="3">
        <v>183129700</v>
      </c>
      <c r="K399" s="3" t="s">
        <v>2211</v>
      </c>
      <c r="L399" t="s">
        <v>1358</v>
      </c>
    </row>
    <row r="400" spans="1:12">
      <c r="A400" s="1" t="s">
        <v>2212</v>
      </c>
      <c r="B400" s="2" t="str">
        <f>HYPERLINK("https://docket.philalegal.org/cgi-bin/proxy.pl?ct=220502691","220502691")</f>
        <v>220502691</v>
      </c>
      <c r="C400" s="3" t="s">
        <v>2196</v>
      </c>
      <c r="D400" s="3" t="s">
        <v>26</v>
      </c>
      <c r="E400" s="3" t="s">
        <v>2197</v>
      </c>
      <c r="F400" s="3" t="s">
        <v>2213</v>
      </c>
      <c r="G400" s="3" t="s">
        <v>2214</v>
      </c>
      <c r="H400" s="3"/>
      <c r="I400" s="3" t="s">
        <v>2215</v>
      </c>
      <c r="J400" s="3">
        <v>601010200</v>
      </c>
      <c r="K400" s="3" t="s">
        <v>2216</v>
      </c>
      <c r="L400" t="s">
        <v>22</v>
      </c>
    </row>
    <row r="401" spans="1:12">
      <c r="A401" s="1" t="s">
        <v>2217</v>
      </c>
      <c r="B401" s="2" t="str">
        <f>HYPERLINK("https://docket.philalegal.org/cgi-bin/proxy.pl?ct=220601226","220601226")</f>
        <v>220601226</v>
      </c>
      <c r="C401" s="3" t="s">
        <v>2196</v>
      </c>
      <c r="D401" s="3" t="s">
        <v>26</v>
      </c>
      <c r="E401" s="3" t="s">
        <v>2197</v>
      </c>
      <c r="F401" s="3" t="s">
        <v>136</v>
      </c>
      <c r="G401" s="3" t="s">
        <v>2218</v>
      </c>
      <c r="H401" s="3" t="s">
        <v>2219</v>
      </c>
      <c r="I401" s="3" t="s">
        <v>2220</v>
      </c>
      <c r="J401" s="3">
        <v>601010100</v>
      </c>
      <c r="K401" s="3" t="s">
        <v>2221</v>
      </c>
      <c r="L401" t="s">
        <v>22</v>
      </c>
    </row>
    <row r="402" spans="1:12">
      <c r="A402" s="1" t="s">
        <v>2222</v>
      </c>
      <c r="B402" s="2" t="str">
        <f>HYPERLINK("https://docket.philalegal.org/cgi-bin/proxy.pl?ct=140304404","140304404")</f>
        <v>140304404</v>
      </c>
      <c r="C402" s="3" t="s">
        <v>2223</v>
      </c>
      <c r="D402" s="3" t="s">
        <v>96</v>
      </c>
      <c r="E402" s="3" t="s">
        <v>2224</v>
      </c>
      <c r="F402" s="3" t="s">
        <v>428</v>
      </c>
      <c r="G402" s="3" t="s">
        <v>2225</v>
      </c>
      <c r="H402" s="3" t="s">
        <v>2226</v>
      </c>
      <c r="I402" s="3" t="s">
        <v>2227</v>
      </c>
      <c r="J402" s="3">
        <v>241190000</v>
      </c>
      <c r="K402" s="3" t="s">
        <v>2228</v>
      </c>
      <c r="L402" t="s">
        <v>2229</v>
      </c>
    </row>
    <row r="403" spans="1:12">
      <c r="A403" s="1" t="s">
        <v>2230</v>
      </c>
      <c r="B403" s="2" t="str">
        <f>HYPERLINK("https://docket.philalegal.org/cgi-bin/proxy.pl?ct=131200547","131200547")</f>
        <v>131200547</v>
      </c>
      <c r="C403" s="3" t="s">
        <v>2231</v>
      </c>
      <c r="D403" s="3" t="s">
        <v>189</v>
      </c>
      <c r="E403" s="3" t="s">
        <v>2224</v>
      </c>
      <c r="F403" s="3" t="s">
        <v>428</v>
      </c>
      <c r="G403" s="3" t="s">
        <v>2232</v>
      </c>
      <c r="H403" s="3" t="s">
        <v>2233</v>
      </c>
      <c r="I403" s="3" t="s">
        <v>1792</v>
      </c>
      <c r="J403" s="3" t="s">
        <v>1793</v>
      </c>
      <c r="K403" s="3" t="s">
        <v>2234</v>
      </c>
      <c r="L403" t="s">
        <v>2235</v>
      </c>
    </row>
    <row r="404" spans="1:12">
      <c r="A404" s="1" t="s">
        <v>2236</v>
      </c>
      <c r="B404" s="2" t="str">
        <f>HYPERLINK("https://docket.philalegal.org/cgi-bin/proxy.pl?ct=140200494","140200494")</f>
        <v>140200494</v>
      </c>
      <c r="C404" s="3" t="s">
        <v>2237</v>
      </c>
      <c r="D404" s="3" t="s">
        <v>26</v>
      </c>
      <c r="E404" s="3" t="s">
        <v>2224</v>
      </c>
      <c r="F404" s="3" t="s">
        <v>428</v>
      </c>
      <c r="G404" s="3" t="s">
        <v>2238</v>
      </c>
      <c r="H404" s="3"/>
      <c r="I404" s="3" t="s">
        <v>2239</v>
      </c>
      <c r="J404" s="3">
        <v>242235400</v>
      </c>
      <c r="K404" s="3" t="s">
        <v>2240</v>
      </c>
      <c r="L404" t="s">
        <v>2235</v>
      </c>
    </row>
    <row r="405" spans="1:12">
      <c r="A405" s="1" t="s">
        <v>2241</v>
      </c>
      <c r="B405" s="2" t="str">
        <f>HYPERLINK("https://docket.philalegal.org/cgi-bin/proxy.pl?ct=180502568","180502568")</f>
        <v>180502568</v>
      </c>
      <c r="C405" s="3" t="s">
        <v>2242</v>
      </c>
      <c r="D405" s="3" t="s">
        <v>705</v>
      </c>
      <c r="E405" s="3" t="s">
        <v>2243</v>
      </c>
      <c r="F405" s="3" t="s">
        <v>2244</v>
      </c>
      <c r="G405" s="3" t="s">
        <v>2245</v>
      </c>
      <c r="H405" s="3"/>
      <c r="I405" s="3" t="s">
        <v>2246</v>
      </c>
      <c r="J405" s="3">
        <v>162011600</v>
      </c>
      <c r="K405" s="3" t="s">
        <v>2247</v>
      </c>
      <c r="L405" t="s">
        <v>2248</v>
      </c>
    </row>
    <row r="406" spans="1:12">
      <c r="A406" s="1" t="s">
        <v>2249</v>
      </c>
      <c r="B406" s="2" t="str">
        <f>HYPERLINK("https://docket.philalegal.org/cgi-bin/proxy.pl?ct=170104295","170104295")</f>
        <v>170104295</v>
      </c>
      <c r="C406" s="3" t="s">
        <v>2250</v>
      </c>
      <c r="D406" s="3" t="s">
        <v>26</v>
      </c>
      <c r="E406" s="3" t="s">
        <v>2251</v>
      </c>
      <c r="F406" s="3" t="s">
        <v>105</v>
      </c>
      <c r="G406" s="3" t="s">
        <v>2252</v>
      </c>
      <c r="H406" s="3"/>
      <c r="I406" s="3" t="s">
        <v>2253</v>
      </c>
      <c r="J406" s="3">
        <v>884604630</v>
      </c>
      <c r="K406" s="3" t="s">
        <v>2254</v>
      </c>
      <c r="L406" t="s">
        <v>2255</v>
      </c>
    </row>
    <row r="407" spans="1:12">
      <c r="A407" s="1" t="s">
        <v>2256</v>
      </c>
      <c r="B407" s="2" t="str">
        <f>HYPERLINK("https://docket.philalegal.org/cgi-bin/proxy.pl?ct=171102438","171102438")</f>
        <v>171102438</v>
      </c>
      <c r="C407" s="3" t="s">
        <v>2257</v>
      </c>
      <c r="D407" s="3" t="s">
        <v>26</v>
      </c>
      <c r="E407" s="3" t="s">
        <v>2258</v>
      </c>
      <c r="F407" s="3" t="s">
        <v>105</v>
      </c>
      <c r="G407" s="3" t="s">
        <v>1028</v>
      </c>
      <c r="H407" s="3"/>
      <c r="I407" s="3" t="s">
        <v>1030</v>
      </c>
      <c r="J407" s="3" t="s">
        <v>1031</v>
      </c>
      <c r="K407" s="3" t="s">
        <v>2259</v>
      </c>
      <c r="L407" t="s">
        <v>2260</v>
      </c>
    </row>
    <row r="408" spans="1:12">
      <c r="A408" s="1" t="s">
        <v>2261</v>
      </c>
      <c r="B408" s="2" t="str">
        <f>HYPERLINK("https://docket.philalegal.org/cgi-bin/proxy.pl?ct=161102370","161102370")</f>
        <v>161102370</v>
      </c>
      <c r="C408" s="3" t="s">
        <v>2262</v>
      </c>
      <c r="D408" s="3" t="s">
        <v>26</v>
      </c>
      <c r="E408" s="3" t="s">
        <v>2263</v>
      </c>
      <c r="F408" s="3" t="s">
        <v>105</v>
      </c>
      <c r="G408" s="3" t="s">
        <v>2264</v>
      </c>
      <c r="H408" s="3"/>
      <c r="I408" s="3" t="s">
        <v>2265</v>
      </c>
      <c r="J408" s="3">
        <v>183156200</v>
      </c>
      <c r="K408" s="3" t="s">
        <v>2266</v>
      </c>
      <c r="L408" t="s">
        <v>2267</v>
      </c>
    </row>
    <row r="409" spans="1:12">
      <c r="A409" s="1" t="s">
        <v>2268</v>
      </c>
      <c r="B409" s="2" t="str">
        <f>HYPERLINK("https://docket.philalegal.org/cgi-bin/proxy.pl?ct=220700096","220700096")</f>
        <v>220700096</v>
      </c>
      <c r="C409" s="3" t="s">
        <v>2269</v>
      </c>
      <c r="D409" s="3" t="s">
        <v>49</v>
      </c>
      <c r="E409" s="3" t="s">
        <v>2270</v>
      </c>
      <c r="F409" s="3" t="s">
        <v>450</v>
      </c>
      <c r="G409" s="3" t="s">
        <v>2271</v>
      </c>
      <c r="H409" s="3"/>
      <c r="I409" s="3" t="s">
        <v>2272</v>
      </c>
      <c r="J409" s="3">
        <v>131055100</v>
      </c>
      <c r="K409" s="3" t="s">
        <v>2273</v>
      </c>
      <c r="L409" t="s">
        <v>46</v>
      </c>
    </row>
    <row r="410" spans="1:12">
      <c r="A410" s="1" t="s">
        <v>2274</v>
      </c>
      <c r="B410" s="2" t="str">
        <f>HYPERLINK("https://docket.philalegal.org/cgi-bin/proxy.pl?ct=160402489","160402489")</f>
        <v>160402489</v>
      </c>
      <c r="C410" s="3" t="s">
        <v>2275</v>
      </c>
      <c r="D410" s="3" t="s">
        <v>96</v>
      </c>
      <c r="E410" s="3" t="s">
        <v>2276</v>
      </c>
      <c r="F410" s="3" t="s">
        <v>158</v>
      </c>
      <c r="G410" s="3" t="s">
        <v>2277</v>
      </c>
      <c r="H410" s="3"/>
      <c r="I410" s="3" t="s">
        <v>2278</v>
      </c>
      <c r="J410" s="3">
        <v>361117800</v>
      </c>
      <c r="K410" s="3" t="s">
        <v>2279</v>
      </c>
      <c r="L410" t="s">
        <v>2248</v>
      </c>
    </row>
    <row r="411" spans="1:12">
      <c r="A411" s="1" t="s">
        <v>2280</v>
      </c>
      <c r="B411" s="2" t="str">
        <f>HYPERLINK("https://docket.philalegal.org/cgi-bin/proxy.pl?ct=220902274","220902274")</f>
        <v>220902274</v>
      </c>
      <c r="C411" s="3" t="s">
        <v>2281</v>
      </c>
      <c r="D411" s="3" t="s">
        <v>49</v>
      </c>
      <c r="E411" s="3" t="s">
        <v>2282</v>
      </c>
      <c r="F411" s="3" t="s">
        <v>17</v>
      </c>
      <c r="G411" s="3" t="s">
        <v>2283</v>
      </c>
      <c r="H411" s="3"/>
      <c r="I411" s="3" t="s">
        <v>2284</v>
      </c>
      <c r="J411" s="3">
        <v>471231800</v>
      </c>
      <c r="K411" s="3" t="s">
        <v>2285</v>
      </c>
      <c r="L411" t="s">
        <v>46</v>
      </c>
    </row>
    <row r="412" spans="1:12">
      <c r="A412" s="1" t="s">
        <v>2286</v>
      </c>
      <c r="B412" s="2" t="str">
        <f>HYPERLINK("https://docket.philalegal.org/cgi-bin/proxy.pl?ct=161202932","161202932")</f>
        <v>161202932</v>
      </c>
      <c r="C412" s="3" t="s">
        <v>2287</v>
      </c>
      <c r="D412" s="3" t="s">
        <v>96</v>
      </c>
      <c r="E412" s="3" t="s">
        <v>2288</v>
      </c>
      <c r="F412" s="3" t="s">
        <v>1329</v>
      </c>
      <c r="G412" s="3" t="s">
        <v>2289</v>
      </c>
      <c r="H412" s="3" t="s">
        <v>2290</v>
      </c>
      <c r="I412" s="3" t="s">
        <v>2291</v>
      </c>
      <c r="J412" s="3">
        <v>363262300</v>
      </c>
      <c r="K412" s="3" t="s">
        <v>2292</v>
      </c>
      <c r="L412" t="s">
        <v>22</v>
      </c>
    </row>
    <row r="413" spans="1:12">
      <c r="A413" s="1" t="s">
        <v>2293</v>
      </c>
      <c r="B413" s="2" t="str">
        <f>HYPERLINK("https://docket.philalegal.org/cgi-bin/proxy.pl?ct=120600896","120600896")</f>
        <v>120600896</v>
      </c>
      <c r="C413" s="3" t="s">
        <v>2294</v>
      </c>
      <c r="D413" s="3" t="s">
        <v>15</v>
      </c>
      <c r="E413" s="3" t="s">
        <v>2288</v>
      </c>
      <c r="F413" s="3" t="s">
        <v>17</v>
      </c>
      <c r="G413" s="3" t="s">
        <v>2295</v>
      </c>
      <c r="H413" s="3" t="s">
        <v>2296</v>
      </c>
      <c r="I413" s="3" t="s">
        <v>2297</v>
      </c>
      <c r="J413" s="3">
        <v>363006300</v>
      </c>
      <c r="K413" s="3" t="s">
        <v>2298</v>
      </c>
    </row>
    <row r="414" spans="1:12">
      <c r="A414" s="1" t="s">
        <v>2299</v>
      </c>
      <c r="B414" s="2" t="str">
        <f>HYPERLINK("https://docket.philalegal.org/cgi-bin/proxy.pl?ct=120600895","120600895")</f>
        <v>120600895</v>
      </c>
      <c r="C414" s="3" t="s">
        <v>2300</v>
      </c>
      <c r="D414" s="3" t="s">
        <v>189</v>
      </c>
      <c r="E414" s="3" t="s">
        <v>2288</v>
      </c>
      <c r="F414" s="3" t="s">
        <v>17</v>
      </c>
      <c r="G414" s="3" t="s">
        <v>2301</v>
      </c>
      <c r="H414" s="3" t="s">
        <v>2296</v>
      </c>
      <c r="I414" s="3" t="s">
        <v>2302</v>
      </c>
      <c r="J414" s="3">
        <v>363006100</v>
      </c>
      <c r="K414" s="3" t="s">
        <v>2303</v>
      </c>
      <c r="L414" t="s">
        <v>195</v>
      </c>
    </row>
    <row r="415" spans="1:12">
      <c r="A415" s="1" t="s">
        <v>2304</v>
      </c>
      <c r="B415" s="2" t="str">
        <f>HYPERLINK("https://docket.philalegal.org/cgi-bin/proxy.pl?ct=160503133","160503133")</f>
        <v>160503133</v>
      </c>
      <c r="C415" s="3" t="s">
        <v>2305</v>
      </c>
      <c r="D415" s="3" t="s">
        <v>96</v>
      </c>
      <c r="E415" s="3" t="s">
        <v>2306</v>
      </c>
      <c r="F415" s="3" t="s">
        <v>105</v>
      </c>
      <c r="G415" s="3" t="s">
        <v>2307</v>
      </c>
      <c r="H415" s="3"/>
      <c r="I415" s="3" t="s">
        <v>2308</v>
      </c>
      <c r="J415" s="3">
        <v>471323100</v>
      </c>
      <c r="K415" s="3" t="s">
        <v>2309</v>
      </c>
      <c r="L415" t="s">
        <v>203</v>
      </c>
    </row>
    <row r="416" spans="1:12">
      <c r="A416" s="1" t="s">
        <v>2310</v>
      </c>
      <c r="B416" s="2" t="str">
        <f>HYPERLINK("https://docket.philalegal.org/cgi-bin/proxy.pl?ct=160503131","160503131")</f>
        <v>160503131</v>
      </c>
      <c r="C416" s="3" t="s">
        <v>2311</v>
      </c>
      <c r="D416" s="3" t="s">
        <v>26</v>
      </c>
      <c r="E416" s="3" t="s">
        <v>2306</v>
      </c>
      <c r="F416" s="3" t="s">
        <v>105</v>
      </c>
      <c r="G416" s="3" t="s">
        <v>2312</v>
      </c>
      <c r="H416" s="3"/>
      <c r="I416" s="3" t="s">
        <v>2313</v>
      </c>
      <c r="J416" s="3">
        <v>471323000</v>
      </c>
      <c r="K416" s="3" t="s">
        <v>2314</v>
      </c>
      <c r="L416" t="s">
        <v>22</v>
      </c>
    </row>
    <row r="417" spans="1:12">
      <c r="A417" s="1" t="s">
        <v>2315</v>
      </c>
      <c r="B417" s="2" t="str">
        <f>HYPERLINK("https://docket.philalegal.org/cgi-bin/proxy.pl?ct=141101352","141101352")</f>
        <v>141101352</v>
      </c>
      <c r="C417" s="3" t="s">
        <v>2316</v>
      </c>
      <c r="D417" s="3" t="s">
        <v>15</v>
      </c>
      <c r="E417" s="3" t="s">
        <v>2317</v>
      </c>
      <c r="F417" s="3" t="s">
        <v>17</v>
      </c>
      <c r="G417" s="3" t="s">
        <v>2318</v>
      </c>
      <c r="H417" s="3"/>
      <c r="I417" s="3" t="s">
        <v>1164</v>
      </c>
      <c r="J417" s="3" t="s">
        <v>1165</v>
      </c>
      <c r="K417" s="3" t="s">
        <v>2319</v>
      </c>
      <c r="L417" t="s">
        <v>437</v>
      </c>
    </row>
    <row r="418" spans="1:12">
      <c r="A418" s="1" t="s">
        <v>2320</v>
      </c>
      <c r="B418" s="2" t="str">
        <f>HYPERLINK("https://docket.philalegal.org/cgi-bin/proxy.pl?ct=140101549","140101549")</f>
        <v>140101549</v>
      </c>
      <c r="C418" s="3" t="s">
        <v>2321</v>
      </c>
      <c r="D418" s="3" t="s">
        <v>1298</v>
      </c>
      <c r="E418" s="3" t="s">
        <v>2322</v>
      </c>
      <c r="F418" s="3" t="s">
        <v>2323</v>
      </c>
      <c r="G418" s="3" t="s">
        <v>2324</v>
      </c>
      <c r="H418" s="3" t="s">
        <v>876</v>
      </c>
      <c r="I418" s="3" t="s">
        <v>2325</v>
      </c>
      <c r="J418" s="3">
        <v>661242700</v>
      </c>
      <c r="K418" s="3" t="s">
        <v>2326</v>
      </c>
      <c r="L418" t="s">
        <v>2327</v>
      </c>
    </row>
    <row r="419" spans="1:12">
      <c r="A419" s="1" t="s">
        <v>2328</v>
      </c>
      <c r="B419" s="2" t="str">
        <f>HYPERLINK("https://docket.philalegal.org/cgi-bin/proxy.pl?ct=210401212","210401212")</f>
        <v>210401212</v>
      </c>
      <c r="C419" s="3" t="s">
        <v>2329</v>
      </c>
      <c r="D419" s="3" t="s">
        <v>26</v>
      </c>
      <c r="E419" s="3" t="s">
        <v>2330</v>
      </c>
      <c r="F419" s="3" t="s">
        <v>369</v>
      </c>
      <c r="G419" s="3" t="s">
        <v>2331</v>
      </c>
      <c r="H419" s="3" t="s">
        <v>2332</v>
      </c>
      <c r="I419" s="3" t="s">
        <v>2333</v>
      </c>
      <c r="J419" s="3">
        <v>301361500</v>
      </c>
      <c r="K419" s="3" t="s">
        <v>2334</v>
      </c>
      <c r="L419" t="s">
        <v>22</v>
      </c>
    </row>
    <row r="420" spans="1:12">
      <c r="A420" s="1" t="s">
        <v>2335</v>
      </c>
      <c r="B420" s="2" t="str">
        <f>HYPERLINK("https://docket.philalegal.org/cgi-bin/proxy.pl?ct=210700369","210700369")</f>
        <v>210700369</v>
      </c>
      <c r="C420" s="3" t="s">
        <v>2336</v>
      </c>
      <c r="D420" s="3" t="s">
        <v>26</v>
      </c>
      <c r="E420" s="3" t="s">
        <v>2330</v>
      </c>
      <c r="F420" s="3" t="s">
        <v>357</v>
      </c>
      <c r="G420" s="3" t="s">
        <v>2337</v>
      </c>
      <c r="H420" s="3"/>
      <c r="I420" s="3" t="s">
        <v>2338</v>
      </c>
      <c r="J420" s="3">
        <v>301123500</v>
      </c>
      <c r="K420" s="3" t="s">
        <v>2334</v>
      </c>
      <c r="L420" t="s">
        <v>22</v>
      </c>
    </row>
    <row r="421" spans="1:12">
      <c r="A421" s="1" t="s">
        <v>2339</v>
      </c>
      <c r="B421" s="2" t="str">
        <f>HYPERLINK("https://docket.philalegal.org/cgi-bin/proxy.pl?ct=140801917","140801917")</f>
        <v>140801917</v>
      </c>
      <c r="C421" s="3" t="s">
        <v>2340</v>
      </c>
      <c r="D421" s="3" t="s">
        <v>26</v>
      </c>
      <c r="E421" s="3" t="s">
        <v>2341</v>
      </c>
      <c r="F421" s="3" t="s">
        <v>105</v>
      </c>
      <c r="G421" s="3" t="s">
        <v>2342</v>
      </c>
      <c r="H421" s="3"/>
      <c r="I421" s="3" t="s">
        <v>2343</v>
      </c>
      <c r="J421" s="3">
        <v>182301400</v>
      </c>
      <c r="K421" s="3" t="s">
        <v>2344</v>
      </c>
      <c r="L421" t="s">
        <v>22</v>
      </c>
    </row>
    <row r="422" spans="1:12">
      <c r="A422" s="1" t="s">
        <v>2345</v>
      </c>
      <c r="B422" s="2" t="str">
        <f>HYPERLINK("https://docket.philalegal.org/cgi-bin/proxy.pl?ct=140801945","140801945")</f>
        <v>140801945</v>
      </c>
      <c r="C422" s="3" t="s">
        <v>2340</v>
      </c>
      <c r="D422" s="3" t="s">
        <v>26</v>
      </c>
      <c r="E422" s="3" t="s">
        <v>2341</v>
      </c>
      <c r="F422" s="3" t="s">
        <v>105</v>
      </c>
      <c r="G422" s="3" t="s">
        <v>2342</v>
      </c>
      <c r="H422" s="3"/>
      <c r="I422" s="7" t="s">
        <v>2343</v>
      </c>
      <c r="J422" s="3">
        <v>871290000</v>
      </c>
      <c r="K422" s="3" t="s">
        <v>2344</v>
      </c>
      <c r="L422" t="s">
        <v>22</v>
      </c>
    </row>
    <row r="423" spans="1:12">
      <c r="A423" s="1" t="s">
        <v>2346</v>
      </c>
      <c r="B423" s="2" t="str">
        <f>HYPERLINK("https://docket.philalegal.org/cgi-bin/proxy.pl?ct=140801952","140801952")</f>
        <v>140801952</v>
      </c>
      <c r="C423" s="3" t="s">
        <v>2340</v>
      </c>
      <c r="D423" s="3" t="s">
        <v>26</v>
      </c>
      <c r="E423" s="3" t="s">
        <v>2341</v>
      </c>
      <c r="F423" s="3" t="s">
        <v>17</v>
      </c>
      <c r="G423" s="3" t="s">
        <v>2342</v>
      </c>
      <c r="H423" s="3" t="s">
        <v>876</v>
      </c>
      <c r="I423" s="7" t="s">
        <v>2343</v>
      </c>
      <c r="J423" s="3">
        <v>182301100</v>
      </c>
      <c r="K423" s="3" t="s">
        <v>2344</v>
      </c>
      <c r="L423" t="s">
        <v>22</v>
      </c>
    </row>
    <row r="424" spans="1:12">
      <c r="A424" s="1" t="s">
        <v>2347</v>
      </c>
      <c r="B424" s="2" t="str">
        <f>HYPERLINK("https://docket.philalegal.org/cgi-bin/proxy.pl?ct=120704302","120704302")</f>
        <v>120704302</v>
      </c>
      <c r="C424" s="3" t="s">
        <v>2348</v>
      </c>
      <c r="D424" s="3" t="s">
        <v>26</v>
      </c>
      <c r="E424" s="3" t="s">
        <v>2349</v>
      </c>
      <c r="F424" s="3" t="s">
        <v>17</v>
      </c>
      <c r="G424" s="3" t="s">
        <v>2350</v>
      </c>
      <c r="H424" s="3"/>
      <c r="I424" s="3" t="s">
        <v>2351</v>
      </c>
      <c r="J424" s="3" t="s">
        <v>2352</v>
      </c>
      <c r="K424" s="3" t="s">
        <v>2353</v>
      </c>
      <c r="L424" t="s">
        <v>22</v>
      </c>
    </row>
    <row r="425" spans="1:12">
      <c r="A425" s="1" t="s">
        <v>2354</v>
      </c>
      <c r="B425" s="2" t="str">
        <f>HYPERLINK("https://docket.philalegal.org/cgi-bin/proxy.pl?ct=210900410","210900410")</f>
        <v>210900410</v>
      </c>
      <c r="C425" s="3" t="s">
        <v>2355</v>
      </c>
      <c r="D425" s="3" t="s">
        <v>49</v>
      </c>
      <c r="E425" s="3" t="s">
        <v>2356</v>
      </c>
      <c r="F425" s="3" t="s">
        <v>17</v>
      </c>
      <c r="G425" s="3" t="s">
        <v>2357</v>
      </c>
      <c r="H425" s="3" t="s">
        <v>2358</v>
      </c>
      <c r="I425" s="3" t="s">
        <v>2359</v>
      </c>
      <c r="J425" s="3">
        <v>172392600</v>
      </c>
      <c r="K425" s="3" t="s">
        <v>2360</v>
      </c>
      <c r="L425" t="s">
        <v>2036</v>
      </c>
    </row>
    <row r="426" spans="1:12">
      <c r="A426" s="1" t="s">
        <v>2361</v>
      </c>
      <c r="B426" s="2" t="str">
        <f>HYPERLINK("https://docket.philalegal.org/cgi-bin/proxy.pl?ct=210100803","210100803")</f>
        <v>210100803</v>
      </c>
      <c r="C426" s="3" t="s">
        <v>2362</v>
      </c>
      <c r="D426" s="3" t="s">
        <v>49</v>
      </c>
      <c r="E426" s="3" t="s">
        <v>2363</v>
      </c>
      <c r="F426" s="3" t="s">
        <v>253</v>
      </c>
      <c r="G426" s="3" t="s">
        <v>2364</v>
      </c>
      <c r="H426" s="3" t="s">
        <v>1037</v>
      </c>
      <c r="I426" s="3" t="s">
        <v>2365</v>
      </c>
      <c r="J426" s="3">
        <v>881218400</v>
      </c>
      <c r="K426" s="3" t="s">
        <v>598</v>
      </c>
      <c r="L426" t="s">
        <v>1981</v>
      </c>
    </row>
    <row r="427" spans="1:12">
      <c r="A427" s="1" t="s">
        <v>2366</v>
      </c>
      <c r="B427" s="2" t="str">
        <f>HYPERLINK("https://docket.philalegal.org/cgi-bin/proxy.pl?ct=160302291","160302291")</f>
        <v>160302291</v>
      </c>
      <c r="C427" s="3" t="s">
        <v>2367</v>
      </c>
      <c r="D427" s="3" t="s">
        <v>2368</v>
      </c>
      <c r="E427" s="3" t="s">
        <v>2369</v>
      </c>
      <c r="F427" s="3" t="s">
        <v>843</v>
      </c>
      <c r="G427" s="3" t="s">
        <v>2370</v>
      </c>
      <c r="H427" s="3"/>
      <c r="I427" s="3" t="s">
        <v>1631</v>
      </c>
      <c r="J427" s="3">
        <v>871548050</v>
      </c>
      <c r="K427" s="3" t="s">
        <v>2371</v>
      </c>
      <c r="L427" t="s">
        <v>195</v>
      </c>
    </row>
    <row r="428" spans="1:12">
      <c r="A428" s="1" t="s">
        <v>2372</v>
      </c>
      <c r="B428" s="2" t="str">
        <f>HYPERLINK("https://docket.philalegal.org/cgi-bin/proxy.pl?ct=160302292","160302292")</f>
        <v>160302292</v>
      </c>
      <c r="C428" s="3" t="s">
        <v>2373</v>
      </c>
      <c r="D428" s="3" t="s">
        <v>2368</v>
      </c>
      <c r="E428" s="3" t="s">
        <v>2374</v>
      </c>
      <c r="F428" s="3" t="s">
        <v>843</v>
      </c>
      <c r="G428" s="3" t="s">
        <v>2375</v>
      </c>
      <c r="H428" s="3"/>
      <c r="I428" s="3" t="s">
        <v>2376</v>
      </c>
      <c r="J428" s="3">
        <v>871549460</v>
      </c>
      <c r="K428" s="3" t="s">
        <v>2371</v>
      </c>
      <c r="L428" t="s">
        <v>195</v>
      </c>
    </row>
    <row r="429" spans="1:12">
      <c r="A429" s="1" t="s">
        <v>2377</v>
      </c>
      <c r="B429" s="2" t="str">
        <f>HYPERLINK("https://docket.philalegal.org/cgi-bin/proxy.pl?ct=160302289","160302289")</f>
        <v>160302289</v>
      </c>
      <c r="C429" s="3" t="s">
        <v>2378</v>
      </c>
      <c r="D429" s="3" t="s">
        <v>2368</v>
      </c>
      <c r="E429" s="3" t="s">
        <v>2369</v>
      </c>
      <c r="F429" s="3" t="s">
        <v>843</v>
      </c>
      <c r="G429" s="3" t="s">
        <v>2379</v>
      </c>
      <c r="H429" s="3"/>
      <c r="I429" s="3" t="s">
        <v>2380</v>
      </c>
      <c r="J429" s="3">
        <v>871548040</v>
      </c>
      <c r="K429" s="3" t="s">
        <v>2371</v>
      </c>
      <c r="L429" t="s">
        <v>195</v>
      </c>
    </row>
    <row r="430" spans="1:12">
      <c r="A430" s="1" t="s">
        <v>2381</v>
      </c>
      <c r="B430" s="2" t="str">
        <f>HYPERLINK("https://docket.philalegal.org/cgi-bin/proxy.pl?ct=160302293","160302293")</f>
        <v>160302293</v>
      </c>
      <c r="C430" s="3" t="s">
        <v>2382</v>
      </c>
      <c r="D430" s="3" t="s">
        <v>2368</v>
      </c>
      <c r="E430" s="3" t="s">
        <v>2369</v>
      </c>
      <c r="F430" s="3" t="s">
        <v>843</v>
      </c>
      <c r="G430" s="3" t="s">
        <v>2383</v>
      </c>
      <c r="H430" s="3"/>
      <c r="I430" s="3" t="s">
        <v>2384</v>
      </c>
      <c r="J430" s="3">
        <v>871549490</v>
      </c>
      <c r="K430" s="3" t="s">
        <v>2371</v>
      </c>
      <c r="L430" t="s">
        <v>195</v>
      </c>
    </row>
    <row r="431" spans="1:12">
      <c r="A431" s="1" t="s">
        <v>2385</v>
      </c>
      <c r="B431" s="2" t="str">
        <f>HYPERLINK("https://docket.philalegal.org/cgi-bin/proxy.pl?ct=160302290","160302290")</f>
        <v>160302290</v>
      </c>
      <c r="C431" s="3" t="s">
        <v>2386</v>
      </c>
      <c r="D431" s="3" t="s">
        <v>2368</v>
      </c>
      <c r="E431" s="3" t="s">
        <v>2374</v>
      </c>
      <c r="F431" s="3" t="s">
        <v>843</v>
      </c>
      <c r="G431" s="3" t="s">
        <v>2387</v>
      </c>
      <c r="H431" s="3"/>
      <c r="I431" s="3" t="s">
        <v>499</v>
      </c>
      <c r="J431" s="3">
        <v>871167750</v>
      </c>
      <c r="K431" s="3" t="s">
        <v>2371</v>
      </c>
      <c r="L431" s="6" t="s">
        <v>195</v>
      </c>
    </row>
    <row r="432" spans="1:12">
      <c r="A432" s="1" t="s">
        <v>2388</v>
      </c>
      <c r="B432" s="2" t="str">
        <f>HYPERLINK("https://docket.philalegal.org/cgi-bin/proxy.pl?ct=160302288","160302288")</f>
        <v>160302288</v>
      </c>
      <c r="C432" s="3" t="s">
        <v>2389</v>
      </c>
      <c r="D432" s="3" t="s">
        <v>2368</v>
      </c>
      <c r="E432" s="3" t="s">
        <v>2374</v>
      </c>
      <c r="F432" s="3" t="s">
        <v>843</v>
      </c>
      <c r="G432" s="3" t="s">
        <v>2390</v>
      </c>
      <c r="H432" s="3"/>
      <c r="I432" s="3" t="s">
        <v>2391</v>
      </c>
      <c r="J432" s="3">
        <v>871167500</v>
      </c>
      <c r="K432" s="3" t="s">
        <v>2371</v>
      </c>
      <c r="L432" s="6" t="s">
        <v>195</v>
      </c>
    </row>
    <row r="433" spans="1:12">
      <c r="A433" s="1" t="s">
        <v>2392</v>
      </c>
      <c r="B433" s="2" t="str">
        <f>HYPERLINK("https://docket.philalegal.org/cgi-bin/proxy.pl?ct=210300071","210300071")</f>
        <v>210300071</v>
      </c>
      <c r="C433" s="3" t="s">
        <v>2393</v>
      </c>
      <c r="D433" s="3" t="s">
        <v>2394</v>
      </c>
      <c r="E433" s="3" t="s">
        <v>2395</v>
      </c>
      <c r="F433" s="3" t="s">
        <v>2396</v>
      </c>
      <c r="G433" s="3" t="s">
        <v>2397</v>
      </c>
      <c r="H433" s="3" t="s">
        <v>2398</v>
      </c>
      <c r="I433" s="3" t="s">
        <v>2399</v>
      </c>
      <c r="J433" s="3">
        <v>611419700</v>
      </c>
      <c r="K433" s="3" t="s">
        <v>2400</v>
      </c>
      <c r="L433" t="s">
        <v>2401</v>
      </c>
    </row>
    <row r="434" spans="1:12">
      <c r="A434" s="1" t="s">
        <v>2402</v>
      </c>
      <c r="B434" s="2" t="str">
        <f>HYPERLINK("https://docket.philalegal.org/cgi-bin/proxy.pl?ct=150703554","150703554")</f>
        <v>150703554</v>
      </c>
      <c r="C434" s="3" t="s">
        <v>2403</v>
      </c>
      <c r="D434" s="3" t="s">
        <v>96</v>
      </c>
      <c r="E434" s="3" t="s">
        <v>2404</v>
      </c>
      <c r="F434" s="3" t="s">
        <v>17</v>
      </c>
      <c r="G434" s="3" t="s">
        <v>2405</v>
      </c>
      <c r="H434" s="3" t="s">
        <v>2406</v>
      </c>
      <c r="I434" s="3" t="s">
        <v>2407</v>
      </c>
      <c r="J434" s="3">
        <v>292203400</v>
      </c>
      <c r="K434" s="3" t="s">
        <v>2408</v>
      </c>
      <c r="L434" t="s">
        <v>203</v>
      </c>
    </row>
    <row r="435" spans="1:12">
      <c r="A435" s="1" t="s">
        <v>2409</v>
      </c>
      <c r="B435" s="2" t="str">
        <f>HYPERLINK("https://docket.philalegal.org/cgi-bin/proxy.pl?ct=150703658","150703658")</f>
        <v>150703658</v>
      </c>
      <c r="C435" s="3" t="s">
        <v>2410</v>
      </c>
      <c r="D435" s="3" t="s">
        <v>96</v>
      </c>
      <c r="E435" s="3" t="s">
        <v>2404</v>
      </c>
      <c r="F435" s="3" t="s">
        <v>17</v>
      </c>
      <c r="G435" s="3" t="s">
        <v>2411</v>
      </c>
      <c r="H435" s="3" t="s">
        <v>2412</v>
      </c>
      <c r="I435" s="3" t="s">
        <v>2413</v>
      </c>
      <c r="J435" s="3">
        <v>292203500</v>
      </c>
      <c r="K435" s="3" t="s">
        <v>2414</v>
      </c>
      <c r="L435" s="6" t="s">
        <v>203</v>
      </c>
    </row>
    <row r="436" spans="1:12">
      <c r="A436" s="1" t="s">
        <v>2415</v>
      </c>
      <c r="B436" s="2" t="str">
        <f>HYPERLINK("https://docket.philalegal.org/cgi-bin/proxy.pl?ct=210502492","210502492")</f>
        <v>210502492</v>
      </c>
      <c r="C436" s="3" t="s">
        <v>2416</v>
      </c>
      <c r="D436" s="3" t="s">
        <v>15</v>
      </c>
      <c r="E436" s="3" t="s">
        <v>2417</v>
      </c>
      <c r="F436" s="3" t="s">
        <v>17</v>
      </c>
      <c r="G436" s="3" t="s">
        <v>2418</v>
      </c>
      <c r="H436" s="3"/>
      <c r="I436" s="3" t="s">
        <v>2419</v>
      </c>
      <c r="J436" s="3" t="s">
        <v>2420</v>
      </c>
      <c r="K436" s="3" t="s">
        <v>2421</v>
      </c>
      <c r="L436" t="s">
        <v>2255</v>
      </c>
    </row>
    <row r="437" spans="1:12">
      <c r="A437" s="1" t="s">
        <v>2422</v>
      </c>
      <c r="B437" s="2" t="str">
        <f>HYPERLINK("https://docket.philalegal.org/cgi-bin/proxy.pl?ct=210502940","210502940")</f>
        <v>210502940</v>
      </c>
      <c r="C437" s="3" t="s">
        <v>2423</v>
      </c>
      <c r="D437" s="3" t="s">
        <v>96</v>
      </c>
      <c r="E437" s="3" t="s">
        <v>2417</v>
      </c>
      <c r="F437" s="3" t="s">
        <v>17</v>
      </c>
      <c r="G437" s="3" t="s">
        <v>2424</v>
      </c>
      <c r="H437" s="3" t="s">
        <v>1577</v>
      </c>
      <c r="I437" s="3" t="s">
        <v>2425</v>
      </c>
      <c r="J437" s="3" t="s">
        <v>2426</v>
      </c>
      <c r="K437" s="3" t="s">
        <v>2427</v>
      </c>
      <c r="L437" s="6" t="s">
        <v>203</v>
      </c>
    </row>
    <row r="438" spans="1:12">
      <c r="A438" s="1" t="s">
        <v>2428</v>
      </c>
      <c r="B438" s="2" t="str">
        <f>HYPERLINK("https://docket.philalegal.org/cgi-bin/proxy.pl?ct=160501213","160501213")</f>
        <v>160501213</v>
      </c>
      <c r="C438" s="3" t="s">
        <v>2429</v>
      </c>
      <c r="D438" s="3" t="s">
        <v>1298</v>
      </c>
      <c r="E438" s="3" t="s">
        <v>2430</v>
      </c>
      <c r="F438" s="3" t="s">
        <v>810</v>
      </c>
      <c r="G438" s="3" t="s">
        <v>2431</v>
      </c>
      <c r="H438" s="3"/>
      <c r="I438" s="3" t="s">
        <v>2432</v>
      </c>
      <c r="J438" s="3">
        <v>394004000</v>
      </c>
      <c r="K438" s="3" t="s">
        <v>2433</v>
      </c>
      <c r="L438" t="s">
        <v>2248</v>
      </c>
    </row>
    <row r="439" spans="1:12">
      <c r="A439" s="1" t="s">
        <v>2434</v>
      </c>
      <c r="B439" s="2" t="str">
        <f>HYPERLINK("https://docket.philalegal.org/cgi-bin/proxy.pl?ct=160402518","160402518")</f>
        <v>160402518</v>
      </c>
      <c r="C439" s="3" t="s">
        <v>2435</v>
      </c>
      <c r="D439" s="3" t="s">
        <v>96</v>
      </c>
      <c r="E439" s="3" t="s">
        <v>2430</v>
      </c>
      <c r="F439" s="3" t="s">
        <v>810</v>
      </c>
      <c r="G439" s="3" t="s">
        <v>2436</v>
      </c>
      <c r="H439" s="3" t="s">
        <v>755</v>
      </c>
      <c r="I439" s="3" t="s">
        <v>2437</v>
      </c>
      <c r="J439" s="3">
        <v>481244300</v>
      </c>
      <c r="K439" s="3" t="s">
        <v>2438</v>
      </c>
      <c r="L439" s="6" t="s">
        <v>203</v>
      </c>
    </row>
    <row r="440" spans="1:12">
      <c r="A440" s="1" t="s">
        <v>2439</v>
      </c>
      <c r="B440" s="2" t="str">
        <f>HYPERLINK("https://docket.philalegal.org/cgi-bin/proxy.pl?ct=190402958","190402958")</f>
        <v>190402958</v>
      </c>
      <c r="C440" s="3" t="s">
        <v>2440</v>
      </c>
      <c r="D440" s="3" t="s">
        <v>96</v>
      </c>
      <c r="E440" s="3" t="s">
        <v>2417</v>
      </c>
      <c r="F440" s="3" t="s">
        <v>17</v>
      </c>
      <c r="G440" s="3" t="s">
        <v>2441</v>
      </c>
      <c r="H440" s="3" t="s">
        <v>2442</v>
      </c>
      <c r="I440" s="3" t="s">
        <v>2443</v>
      </c>
      <c r="J440" s="3" t="s">
        <v>2444</v>
      </c>
      <c r="K440" s="3" t="s">
        <v>2445</v>
      </c>
      <c r="L440" t="s">
        <v>2248</v>
      </c>
    </row>
    <row r="441" spans="1:12">
      <c r="A441" s="1" t="s">
        <v>2446</v>
      </c>
      <c r="B441" s="2" t="str">
        <f>HYPERLINK("https://docket.philalegal.org/cgi-bin/proxy.pl?ct=200300042","200300042")</f>
        <v>200300042</v>
      </c>
      <c r="C441" s="3" t="s">
        <v>2447</v>
      </c>
      <c r="D441" s="3" t="s">
        <v>96</v>
      </c>
      <c r="E441" s="3" t="s">
        <v>2417</v>
      </c>
      <c r="F441" s="3" t="s">
        <v>17</v>
      </c>
      <c r="G441" s="3" t="s">
        <v>2448</v>
      </c>
      <c r="H441" s="3" t="s">
        <v>2449</v>
      </c>
      <c r="I441" s="3" t="s">
        <v>2450</v>
      </c>
      <c r="J441" s="3" t="s">
        <v>2451</v>
      </c>
      <c r="K441" s="3" t="s">
        <v>2452</v>
      </c>
      <c r="L441" s="6" t="s">
        <v>203</v>
      </c>
    </row>
    <row r="442" spans="1:12">
      <c r="A442" s="1" t="s">
        <v>2453</v>
      </c>
      <c r="B442" s="2" t="str">
        <f>HYPERLINK("https://docket.philalegal.org/cgi-bin/proxy.pl?ct=150203098","150203098")</f>
        <v>150203098</v>
      </c>
      <c r="C442" s="3" t="s">
        <v>2454</v>
      </c>
      <c r="D442" s="3" t="s">
        <v>15</v>
      </c>
      <c r="E442" s="3" t="s">
        <v>2417</v>
      </c>
      <c r="F442" s="3" t="s">
        <v>17</v>
      </c>
      <c r="G442" s="3" t="s">
        <v>2331</v>
      </c>
      <c r="H442" s="3" t="s">
        <v>2332</v>
      </c>
      <c r="I442" s="3" t="s">
        <v>2455</v>
      </c>
      <c r="J442" s="3">
        <v>301361500</v>
      </c>
      <c r="K442" s="3" t="s">
        <v>2456</v>
      </c>
      <c r="L442" s="6" t="s">
        <v>22</v>
      </c>
    </row>
    <row r="443" spans="1:12">
      <c r="A443" s="1" t="s">
        <v>2457</v>
      </c>
      <c r="B443" s="2" t="str">
        <f>HYPERLINK("https://docket.philalegal.org/cgi-bin/proxy.pl?ct=210301789","210301789")</f>
        <v>210301789</v>
      </c>
      <c r="C443" s="3" t="s">
        <v>2458</v>
      </c>
      <c r="D443" s="3" t="s">
        <v>2459</v>
      </c>
      <c r="E443" s="3" t="s">
        <v>2417</v>
      </c>
      <c r="F443" s="3" t="s">
        <v>17</v>
      </c>
      <c r="G443" s="3" t="s">
        <v>2460</v>
      </c>
      <c r="H443" s="3" t="s">
        <v>2461</v>
      </c>
      <c r="I443" s="3" t="s">
        <v>2462</v>
      </c>
      <c r="J443" s="3">
        <v>871116350</v>
      </c>
      <c r="K443" s="3" t="s">
        <v>2463</v>
      </c>
      <c r="L443" s="6" t="s">
        <v>203</v>
      </c>
    </row>
    <row r="444" spans="1:12">
      <c r="A444" s="1" t="s">
        <v>2464</v>
      </c>
      <c r="B444" s="2" t="str">
        <f>HYPERLINK("https://docket.philalegal.org/cgi-bin/proxy.pl?ct=210301790","210301790")</f>
        <v>210301790</v>
      </c>
      <c r="C444" s="3" t="s">
        <v>2465</v>
      </c>
      <c r="D444" s="3" t="s">
        <v>26</v>
      </c>
      <c r="E444" s="3" t="s">
        <v>2417</v>
      </c>
      <c r="F444" s="3" t="s">
        <v>17</v>
      </c>
      <c r="G444" s="3" t="s">
        <v>2466</v>
      </c>
      <c r="H444" s="3" t="s">
        <v>2467</v>
      </c>
      <c r="I444" s="3" t="s">
        <v>2468</v>
      </c>
      <c r="J444" s="3">
        <v>122051400</v>
      </c>
      <c r="K444" s="3" t="s">
        <v>2469</v>
      </c>
      <c r="L444" s="6" t="s">
        <v>22</v>
      </c>
    </row>
    <row r="445" spans="1:12">
      <c r="A445" s="1" t="s">
        <v>2470</v>
      </c>
      <c r="B445" s="2" t="str">
        <f>HYPERLINK("https://docket.philalegal.org/cgi-bin/proxy.pl?ct=190501326","190501326")</f>
        <v>190501326</v>
      </c>
      <c r="C445" s="3" t="s">
        <v>2471</v>
      </c>
      <c r="D445" s="3" t="s">
        <v>96</v>
      </c>
      <c r="E445" s="3" t="s">
        <v>2417</v>
      </c>
      <c r="F445" s="3" t="s">
        <v>17</v>
      </c>
      <c r="G445" s="3" t="s">
        <v>2472</v>
      </c>
      <c r="H445" s="3"/>
      <c r="I445" s="3" t="s">
        <v>2473</v>
      </c>
      <c r="J445" s="3">
        <v>871195700</v>
      </c>
      <c r="K445" s="3" t="s">
        <v>2474</v>
      </c>
      <c r="L445" s="6" t="s">
        <v>195</v>
      </c>
    </row>
    <row r="446" spans="1:12">
      <c r="A446" s="1" t="s">
        <v>2475</v>
      </c>
      <c r="B446" s="2" t="str">
        <f>HYPERLINK("https://docket.philalegal.org/cgi-bin/proxy.pl?ct=190704445","190704445")</f>
        <v>190704445</v>
      </c>
      <c r="C446" s="3" t="s">
        <v>2476</v>
      </c>
      <c r="D446" s="3" t="s">
        <v>189</v>
      </c>
      <c r="E446" s="3" t="s">
        <v>2417</v>
      </c>
      <c r="F446" s="3" t="s">
        <v>17</v>
      </c>
      <c r="G446" s="3" t="s">
        <v>2477</v>
      </c>
      <c r="H446" s="3"/>
      <c r="I446" s="3" t="s">
        <v>2473</v>
      </c>
      <c r="J446" s="3">
        <v>871195700</v>
      </c>
      <c r="K446" s="3" t="s">
        <v>2478</v>
      </c>
      <c r="L446" t="s">
        <v>2248</v>
      </c>
    </row>
    <row r="447" spans="1:12">
      <c r="A447" s="1" t="s">
        <v>2479</v>
      </c>
      <c r="B447" s="2" t="str">
        <f>HYPERLINK("https://docket.philalegal.org/cgi-bin/proxy.pl?ct=210302042","210302042")</f>
        <v>210302042</v>
      </c>
      <c r="C447" s="3" t="s">
        <v>2480</v>
      </c>
      <c r="D447" s="3" t="s">
        <v>96</v>
      </c>
      <c r="E447" s="3" t="s">
        <v>2417</v>
      </c>
      <c r="F447" s="3" t="s">
        <v>17</v>
      </c>
      <c r="G447" s="3" t="s">
        <v>2481</v>
      </c>
      <c r="H447" s="3"/>
      <c r="I447" s="3" t="s">
        <v>2482</v>
      </c>
      <c r="J447" s="3">
        <v>213081301</v>
      </c>
      <c r="K447" s="3" t="s">
        <v>2483</v>
      </c>
      <c r="L447" t="s">
        <v>2248</v>
      </c>
    </row>
    <row r="448" spans="1:12">
      <c r="A448" s="1" t="s">
        <v>2484</v>
      </c>
      <c r="B448" s="2" t="str">
        <f>HYPERLINK("https://docket.philalegal.org/cgi-bin/proxy.pl?ct=161001836","161001836")</f>
        <v>161001836</v>
      </c>
      <c r="C448" s="3" t="s">
        <v>2485</v>
      </c>
      <c r="D448" s="3" t="s">
        <v>26</v>
      </c>
      <c r="E448" s="3" t="s">
        <v>2486</v>
      </c>
      <c r="F448" s="3" t="s">
        <v>810</v>
      </c>
      <c r="G448" s="3" t="s">
        <v>2487</v>
      </c>
      <c r="H448" s="3"/>
      <c r="I448" s="3" t="s">
        <v>2488</v>
      </c>
      <c r="J448" s="3">
        <v>223086500</v>
      </c>
      <c r="K448" s="3" t="s">
        <v>2489</v>
      </c>
      <c r="L448" s="6" t="s">
        <v>22</v>
      </c>
    </row>
    <row r="449" spans="1:12">
      <c r="A449" s="1" t="s">
        <v>2490</v>
      </c>
      <c r="B449" s="2" t="str">
        <f>HYPERLINK("https://docket.philalegal.org/cgi-bin/proxy.pl?ct=180802809","180802809")</f>
        <v>180802809</v>
      </c>
      <c r="C449" s="3" t="s">
        <v>2491</v>
      </c>
      <c r="D449" s="3" t="s">
        <v>96</v>
      </c>
      <c r="E449" s="3" t="s">
        <v>2417</v>
      </c>
      <c r="F449" s="3" t="s">
        <v>166</v>
      </c>
      <c r="G449" s="3" t="s">
        <v>2492</v>
      </c>
      <c r="H449" s="3" t="s">
        <v>2493</v>
      </c>
      <c r="I449" s="3" t="s">
        <v>2494</v>
      </c>
      <c r="J449" s="3">
        <v>481304700</v>
      </c>
      <c r="K449" s="3" t="s">
        <v>2495</v>
      </c>
      <c r="L449" t="s">
        <v>2248</v>
      </c>
    </row>
    <row r="450" spans="1:12">
      <c r="A450" s="1" t="s">
        <v>2496</v>
      </c>
      <c r="B450" s="2" t="str">
        <f>HYPERLINK("https://docket.philalegal.org/cgi-bin/proxy.pl?ct=161002032","161002032")</f>
        <v>161002032</v>
      </c>
      <c r="C450" s="3" t="s">
        <v>2497</v>
      </c>
      <c r="D450" s="3" t="s">
        <v>26</v>
      </c>
      <c r="E450" s="3" t="s">
        <v>2417</v>
      </c>
      <c r="F450" s="3" t="s">
        <v>105</v>
      </c>
      <c r="G450" s="3" t="s">
        <v>2498</v>
      </c>
      <c r="H450" s="3" t="s">
        <v>2499</v>
      </c>
      <c r="I450" s="3" t="s">
        <v>2500</v>
      </c>
      <c r="J450" s="3">
        <v>301419400</v>
      </c>
      <c r="K450" s="3" t="s">
        <v>2501</v>
      </c>
      <c r="L450" s="6" t="s">
        <v>22</v>
      </c>
    </row>
    <row r="451" spans="1:12">
      <c r="A451" s="1" t="s">
        <v>2502</v>
      </c>
      <c r="B451" s="2" t="str">
        <f>HYPERLINK("https://docket.philalegal.org/cgi-bin/proxy.pl?ct=150801677","150801677")</f>
        <v>150801677</v>
      </c>
      <c r="C451" s="3" t="s">
        <v>2503</v>
      </c>
      <c r="D451" s="3" t="s">
        <v>1298</v>
      </c>
      <c r="E451" s="3" t="s">
        <v>2417</v>
      </c>
      <c r="F451" s="3" t="s">
        <v>17</v>
      </c>
      <c r="G451" s="3" t="s">
        <v>2504</v>
      </c>
      <c r="H451" s="3"/>
      <c r="I451" s="3" t="s">
        <v>2505</v>
      </c>
      <c r="J451" s="3">
        <v>365200500</v>
      </c>
      <c r="K451" s="3" t="s">
        <v>2506</v>
      </c>
      <c r="L451" t="s">
        <v>2248</v>
      </c>
    </row>
    <row r="452" spans="1:12">
      <c r="A452" s="1" t="s">
        <v>2507</v>
      </c>
      <c r="B452" s="2" t="str">
        <f>HYPERLINK("https://docket.philalegal.org/cgi-bin/proxy.pl?ct=190800750","190800750")</f>
        <v>190800750</v>
      </c>
      <c r="C452" s="3" t="s">
        <v>2508</v>
      </c>
      <c r="D452" s="3" t="s">
        <v>26</v>
      </c>
      <c r="E452" s="3" t="s">
        <v>2509</v>
      </c>
      <c r="F452" s="3" t="s">
        <v>810</v>
      </c>
      <c r="G452" s="3" t="s">
        <v>2510</v>
      </c>
      <c r="H452" s="3" t="s">
        <v>2511</v>
      </c>
      <c r="I452" s="3" t="s">
        <v>2512</v>
      </c>
      <c r="J452" s="3">
        <v>222213000</v>
      </c>
      <c r="K452" s="3" t="s">
        <v>2513</v>
      </c>
      <c r="L452" t="s">
        <v>22</v>
      </c>
    </row>
    <row r="453" spans="1:12">
      <c r="A453" s="1" t="s">
        <v>2514</v>
      </c>
      <c r="B453" s="2" t="str">
        <f>HYPERLINK("https://docket.philalegal.org/cgi-bin/proxy.pl?ct=210101327","210101327")</f>
        <v>210101327</v>
      </c>
      <c r="C453" s="3" t="s">
        <v>2515</v>
      </c>
      <c r="D453" s="3" t="s">
        <v>2516</v>
      </c>
      <c r="E453" s="3" t="s">
        <v>2517</v>
      </c>
      <c r="F453" s="3" t="s">
        <v>810</v>
      </c>
      <c r="G453" s="3" t="s">
        <v>2518</v>
      </c>
      <c r="H453" s="3" t="s">
        <v>2519</v>
      </c>
      <c r="I453" s="3" t="s">
        <v>2520</v>
      </c>
      <c r="J453" s="3">
        <v>875101750</v>
      </c>
      <c r="K453" s="3" t="s">
        <v>2521</v>
      </c>
      <c r="L453" s="6" t="s">
        <v>2522</v>
      </c>
    </row>
    <row r="454" spans="1:12">
      <c r="A454" s="1" t="s">
        <v>2523</v>
      </c>
      <c r="B454" s="2" t="str">
        <f>HYPERLINK("https://docket.philalegal.org/cgi-bin/proxy.pl?ct=130701293","130701293")</f>
        <v>130701293</v>
      </c>
      <c r="C454" s="3" t="s">
        <v>2524</v>
      </c>
      <c r="D454" s="3" t="s">
        <v>96</v>
      </c>
      <c r="E454" s="3" t="s">
        <v>2417</v>
      </c>
      <c r="F454" s="3" t="s">
        <v>17</v>
      </c>
      <c r="G454" s="3" t="s">
        <v>2525</v>
      </c>
      <c r="H454" s="3" t="s">
        <v>234</v>
      </c>
      <c r="I454" s="3" t="s">
        <v>2526</v>
      </c>
      <c r="J454" s="3">
        <v>365114800</v>
      </c>
      <c r="K454" s="3" t="s">
        <v>2527</v>
      </c>
      <c r="L454" t="s">
        <v>22</v>
      </c>
    </row>
    <row r="455" spans="1:12">
      <c r="A455" s="1" t="s">
        <v>2528</v>
      </c>
      <c r="B455" s="2" t="str">
        <f>HYPERLINK("https://docket.philalegal.org/cgi-bin/proxy.pl?ct=220303044","220303044")</f>
        <v>220303044</v>
      </c>
      <c r="C455" s="3" t="s">
        <v>2529</v>
      </c>
      <c r="D455" s="3" t="s">
        <v>26</v>
      </c>
      <c r="E455" s="3" t="s">
        <v>2417</v>
      </c>
      <c r="F455" s="3" t="s">
        <v>17</v>
      </c>
      <c r="G455" s="3" t="s">
        <v>1328</v>
      </c>
      <c r="H455" s="3" t="s">
        <v>1329</v>
      </c>
      <c r="I455" s="3" t="s">
        <v>1330</v>
      </c>
      <c r="J455" s="3">
        <v>881711300</v>
      </c>
      <c r="K455" s="3" t="s">
        <v>2469</v>
      </c>
      <c r="L455" s="6" t="s">
        <v>22</v>
      </c>
    </row>
    <row r="456" spans="1:12">
      <c r="A456" s="1" t="s">
        <v>2530</v>
      </c>
      <c r="B456" s="2" t="str">
        <f>HYPERLINK("https://docket.philalegal.org/cgi-bin/proxy.pl?ct=140902174","140902174")</f>
        <v>140902174</v>
      </c>
      <c r="C456" s="3" t="s">
        <v>2531</v>
      </c>
      <c r="D456" s="3" t="s">
        <v>15</v>
      </c>
      <c r="E456" s="3" t="s">
        <v>2417</v>
      </c>
      <c r="F456" s="3" t="s">
        <v>17</v>
      </c>
      <c r="G456" s="3" t="s">
        <v>2441</v>
      </c>
      <c r="H456" s="3" t="s">
        <v>876</v>
      </c>
      <c r="I456" s="3" t="s">
        <v>2443</v>
      </c>
      <c r="J456" s="3" t="s">
        <v>2444</v>
      </c>
      <c r="K456" s="3" t="s">
        <v>2532</v>
      </c>
      <c r="L456" s="6" t="s">
        <v>22</v>
      </c>
    </row>
    <row r="457" spans="1:12">
      <c r="A457" s="1" t="s">
        <v>2533</v>
      </c>
      <c r="B457" s="2" t="str">
        <f>HYPERLINK("https://docket.philalegal.org/cgi-bin/proxy.pl?ct=150402529","150402529")</f>
        <v>150402529</v>
      </c>
      <c r="C457" s="3" t="s">
        <v>2534</v>
      </c>
      <c r="D457" s="3" t="s">
        <v>26</v>
      </c>
      <c r="E457" s="3" t="s">
        <v>2417</v>
      </c>
      <c r="F457" s="3" t="s">
        <v>17</v>
      </c>
      <c r="G457" s="3" t="s">
        <v>2535</v>
      </c>
      <c r="H457" s="3"/>
      <c r="I457" s="3" t="s">
        <v>2536</v>
      </c>
      <c r="J457" s="3">
        <v>453238120</v>
      </c>
      <c r="K457" s="3" t="s">
        <v>2537</v>
      </c>
      <c r="L457" t="s">
        <v>2538</v>
      </c>
    </row>
    <row r="458" spans="1:12">
      <c r="A458" s="1" t="s">
        <v>2539</v>
      </c>
      <c r="B458" s="2" t="str">
        <f>HYPERLINK("https://docket.philalegal.org/cgi-bin/proxy.pl?ct=120402904","120402904")</f>
        <v>120402904</v>
      </c>
      <c r="C458" s="3" t="s">
        <v>2540</v>
      </c>
      <c r="D458" s="3" t="s">
        <v>26</v>
      </c>
      <c r="E458" s="3" t="s">
        <v>2417</v>
      </c>
      <c r="F458" s="3" t="s">
        <v>17</v>
      </c>
      <c r="G458" s="3" t="s">
        <v>2541</v>
      </c>
      <c r="H458" s="3" t="s">
        <v>755</v>
      </c>
      <c r="I458" s="3" t="s">
        <v>2542</v>
      </c>
      <c r="J458" s="3" t="s">
        <v>2543</v>
      </c>
      <c r="K458" s="3" t="s">
        <v>2489</v>
      </c>
      <c r="L458" t="s">
        <v>22</v>
      </c>
    </row>
    <row r="459" spans="1:12">
      <c r="A459" s="1" t="s">
        <v>2544</v>
      </c>
      <c r="B459" s="2" t="str">
        <f>HYPERLINK("https://docket.philalegal.org/cgi-bin/proxy.pl?ct=140401341","140401341")</f>
        <v>140401341</v>
      </c>
      <c r="C459" s="3" t="s">
        <v>2545</v>
      </c>
      <c r="D459" s="3" t="s">
        <v>2546</v>
      </c>
      <c r="E459" s="3" t="s">
        <v>2417</v>
      </c>
      <c r="F459" s="3" t="s">
        <v>17</v>
      </c>
      <c r="G459" s="3" t="s">
        <v>2547</v>
      </c>
      <c r="H459" s="3" t="s">
        <v>876</v>
      </c>
      <c r="I459" s="3" t="s">
        <v>2548</v>
      </c>
      <c r="J459" s="3">
        <v>363198500</v>
      </c>
      <c r="K459" s="3" t="s">
        <v>2549</v>
      </c>
      <c r="L459" t="s">
        <v>22</v>
      </c>
    </row>
    <row r="460" spans="1:12">
      <c r="A460" s="1" t="s">
        <v>2550</v>
      </c>
      <c r="B460" s="2" t="str">
        <f>HYPERLINK("https://docket.philalegal.org/cgi-bin/proxy.pl?ct=220900469","220900469")</f>
        <v>220900469</v>
      </c>
      <c r="C460" s="3" t="s">
        <v>2551</v>
      </c>
      <c r="D460" s="3" t="s">
        <v>656</v>
      </c>
      <c r="E460" s="3" t="s">
        <v>2417</v>
      </c>
      <c r="F460" s="3" t="s">
        <v>17</v>
      </c>
      <c r="G460" s="3" t="s">
        <v>2552</v>
      </c>
      <c r="H460" s="3"/>
      <c r="I460" s="3" t="s">
        <v>2553</v>
      </c>
      <c r="J460" s="3">
        <v>871210350</v>
      </c>
      <c r="K460" s="3" t="s">
        <v>2554</v>
      </c>
      <c r="L460" t="s">
        <v>46</v>
      </c>
    </row>
    <row r="461" spans="1:12">
      <c r="A461" s="1" t="s">
        <v>2555</v>
      </c>
      <c r="B461" s="2" t="str">
        <f>HYPERLINK("https://docket.philalegal.org/cgi-bin/proxy.pl?ct=131100187","131100187")</f>
        <v>131100187</v>
      </c>
      <c r="C461" s="3" t="s">
        <v>2556</v>
      </c>
      <c r="D461" s="3" t="s">
        <v>15</v>
      </c>
      <c r="E461" s="3" t="s">
        <v>2417</v>
      </c>
      <c r="F461" s="3" t="s">
        <v>17</v>
      </c>
      <c r="G461" s="3" t="s">
        <v>2557</v>
      </c>
      <c r="H461" s="3" t="s">
        <v>234</v>
      </c>
      <c r="I461" s="3" t="s">
        <v>2558</v>
      </c>
      <c r="J461" s="3">
        <v>481246200</v>
      </c>
      <c r="K461" s="3" t="s">
        <v>2559</v>
      </c>
      <c r="L461" t="s">
        <v>2248</v>
      </c>
    </row>
    <row r="462" spans="1:12">
      <c r="A462" s="1" t="s">
        <v>2560</v>
      </c>
      <c r="B462" s="2" t="str">
        <f>HYPERLINK("https://docket.philalegal.org/cgi-bin/proxy.pl?ct=131100429","131100429")</f>
        <v>131100429</v>
      </c>
      <c r="C462" s="3" t="s">
        <v>2556</v>
      </c>
      <c r="D462" s="3" t="s">
        <v>96</v>
      </c>
      <c r="E462" s="3" t="s">
        <v>2417</v>
      </c>
      <c r="F462" s="3" t="s">
        <v>17</v>
      </c>
      <c r="G462" s="3" t="s">
        <v>2561</v>
      </c>
      <c r="H462" s="3" t="s">
        <v>2562</v>
      </c>
      <c r="I462" s="3" t="s">
        <v>2563</v>
      </c>
      <c r="J462" s="3">
        <v>481246200</v>
      </c>
      <c r="K462" s="3" t="s">
        <v>2564</v>
      </c>
      <c r="L462" t="s">
        <v>2248</v>
      </c>
    </row>
    <row r="463" spans="1:12">
      <c r="A463" s="1" t="s">
        <v>2565</v>
      </c>
      <c r="B463" s="2" t="str">
        <f>HYPERLINK("https://docket.philalegal.org/cgi-bin/proxy.pl?ct=150602524","150602524")</f>
        <v>150602524</v>
      </c>
      <c r="C463" s="3" t="s">
        <v>2566</v>
      </c>
      <c r="D463" s="3" t="s">
        <v>26</v>
      </c>
      <c r="E463" s="3" t="s">
        <v>2417</v>
      </c>
      <c r="F463" s="3" t="s">
        <v>17</v>
      </c>
      <c r="G463" s="3" t="s">
        <v>2567</v>
      </c>
      <c r="H463" s="3"/>
      <c r="I463" s="3" t="s">
        <v>2568</v>
      </c>
      <c r="J463" s="3" t="s">
        <v>2569</v>
      </c>
      <c r="K463" s="3" t="s">
        <v>2489</v>
      </c>
      <c r="L463" s="6" t="s">
        <v>22</v>
      </c>
    </row>
    <row r="464" spans="1:12">
      <c r="A464" s="1" t="s">
        <v>2570</v>
      </c>
      <c r="B464" s="2" t="str">
        <f>HYPERLINK("https://docket.philalegal.org/cgi-bin/proxy.pl?ct=150700227","150700227")</f>
        <v>150700227</v>
      </c>
      <c r="C464" s="3" t="s">
        <v>2571</v>
      </c>
      <c r="D464" s="3" t="s">
        <v>96</v>
      </c>
      <c r="E464" s="3" t="s">
        <v>2417</v>
      </c>
      <c r="F464" s="3" t="s">
        <v>17</v>
      </c>
      <c r="G464" s="3" t="s">
        <v>2572</v>
      </c>
      <c r="H464" s="3" t="s">
        <v>803</v>
      </c>
      <c r="I464" s="3" t="s">
        <v>2573</v>
      </c>
      <c r="J464" s="3">
        <v>451403800</v>
      </c>
      <c r="K464" s="3" t="s">
        <v>2574</v>
      </c>
      <c r="L464" t="s">
        <v>2248</v>
      </c>
    </row>
    <row r="465" spans="1:12">
      <c r="A465" s="1" t="s">
        <v>2575</v>
      </c>
      <c r="B465" s="2" t="str">
        <f>HYPERLINK("https://docket.philalegal.org/cgi-bin/proxy.pl?ct=150501720","150501720")</f>
        <v>150501720</v>
      </c>
      <c r="C465" s="3" t="s">
        <v>2576</v>
      </c>
      <c r="D465" s="3" t="s">
        <v>26</v>
      </c>
      <c r="E465" s="3" t="s">
        <v>2417</v>
      </c>
      <c r="F465" s="3" t="s">
        <v>17</v>
      </c>
      <c r="G465" s="3" t="s">
        <v>1791</v>
      </c>
      <c r="H465" s="3" t="s">
        <v>2577</v>
      </c>
      <c r="I465" s="3" t="s">
        <v>1792</v>
      </c>
      <c r="J465" s="3" t="s">
        <v>2578</v>
      </c>
      <c r="K465" s="3" t="s">
        <v>2579</v>
      </c>
      <c r="L465" s="6" t="s">
        <v>22</v>
      </c>
    </row>
    <row r="466" spans="1:12">
      <c r="A466" s="1" t="s">
        <v>2580</v>
      </c>
      <c r="B466" s="2" t="str">
        <f>HYPERLINK("https://docket.philalegal.org/cgi-bin/proxy.pl?ct=150302642","150302642")</f>
        <v>150302642</v>
      </c>
      <c r="C466" s="3" t="s">
        <v>2581</v>
      </c>
      <c r="D466" s="3" t="s">
        <v>26</v>
      </c>
      <c r="E466" s="3" t="s">
        <v>2417</v>
      </c>
      <c r="F466" s="3" t="s">
        <v>17</v>
      </c>
      <c r="G466" s="3" t="s">
        <v>2582</v>
      </c>
      <c r="H466" s="3" t="s">
        <v>803</v>
      </c>
      <c r="I466" s="3" t="s">
        <v>2583</v>
      </c>
      <c r="J466" s="3">
        <v>363170600</v>
      </c>
      <c r="K466" s="3" t="s">
        <v>2489</v>
      </c>
      <c r="L466" s="6" t="s">
        <v>22</v>
      </c>
    </row>
    <row r="467" spans="1:12">
      <c r="A467" s="1" t="s">
        <v>2584</v>
      </c>
      <c r="B467" s="2" t="str">
        <f>HYPERLINK("https://docket.philalegal.org/cgi-bin/proxy.pl?ct=220101571","220101571")</f>
        <v>220101571</v>
      </c>
      <c r="C467" s="3" t="s">
        <v>2585</v>
      </c>
      <c r="D467" s="3" t="s">
        <v>49</v>
      </c>
      <c r="E467" s="3" t="s">
        <v>2417</v>
      </c>
      <c r="F467" s="3" t="s">
        <v>17</v>
      </c>
      <c r="G467" s="3" t="s">
        <v>2586</v>
      </c>
      <c r="H467" s="3"/>
      <c r="I467" s="3" t="s">
        <v>2587</v>
      </c>
      <c r="J467" s="3">
        <v>611184900</v>
      </c>
      <c r="K467" s="3" t="s">
        <v>2588</v>
      </c>
      <c r="L467" t="s">
        <v>2589</v>
      </c>
    </row>
    <row r="468" spans="1:12">
      <c r="A468" s="1" t="s">
        <v>2590</v>
      </c>
      <c r="B468" s="2" t="str">
        <f>HYPERLINK("https://docket.philalegal.org/cgi-bin/proxy.pl?ct=160100904","160100904")</f>
        <v>160100904</v>
      </c>
      <c r="C468" s="3" t="s">
        <v>2591</v>
      </c>
      <c r="D468" s="3" t="s">
        <v>96</v>
      </c>
      <c r="E468" s="3" t="s">
        <v>2417</v>
      </c>
      <c r="F468" s="3" t="s">
        <v>166</v>
      </c>
      <c r="G468" s="3" t="s">
        <v>2592</v>
      </c>
      <c r="H468" s="3" t="s">
        <v>2593</v>
      </c>
      <c r="I468" s="3" t="s">
        <v>2594</v>
      </c>
      <c r="J468" s="3">
        <v>771521000</v>
      </c>
      <c r="K468" s="3" t="s">
        <v>2595</v>
      </c>
      <c r="L468" t="s">
        <v>2248</v>
      </c>
    </row>
    <row r="469" spans="1:12">
      <c r="A469" s="1" t="s">
        <v>2596</v>
      </c>
      <c r="B469" s="2" t="str">
        <f>HYPERLINK("https://docket.philalegal.org/cgi-bin/proxy.pl?ct=140200804","140200804")</f>
        <v>140200804</v>
      </c>
      <c r="C469" s="3" t="s">
        <v>2597</v>
      </c>
      <c r="D469" s="3" t="s">
        <v>15</v>
      </c>
      <c r="E469" s="3" t="s">
        <v>2417</v>
      </c>
      <c r="F469" s="3" t="s">
        <v>17</v>
      </c>
      <c r="G469" s="3" t="s">
        <v>1765</v>
      </c>
      <c r="H469" s="3" t="s">
        <v>234</v>
      </c>
      <c r="I469" s="3" t="s">
        <v>2598</v>
      </c>
      <c r="J469" s="3">
        <v>365152500</v>
      </c>
      <c r="K469" s="3" t="s">
        <v>2599</v>
      </c>
      <c r="L469" t="s">
        <v>22</v>
      </c>
    </row>
    <row r="470" spans="1:12">
      <c r="A470" s="1" t="s">
        <v>2600</v>
      </c>
      <c r="B470" s="2" t="str">
        <f>HYPERLINK("https://docket.philalegal.org/cgi-bin/proxy.pl?ct=130403612","130403612")</f>
        <v>130403612</v>
      </c>
      <c r="C470" s="3" t="s">
        <v>2601</v>
      </c>
      <c r="D470" s="3" t="s">
        <v>15</v>
      </c>
      <c r="E470" s="3" t="s">
        <v>2417</v>
      </c>
      <c r="F470" s="3" t="s">
        <v>17</v>
      </c>
      <c r="G470" s="3" t="s">
        <v>2602</v>
      </c>
      <c r="H470" s="3" t="s">
        <v>2603</v>
      </c>
      <c r="I470" s="3" t="s">
        <v>2604</v>
      </c>
      <c r="J470" s="3" t="s">
        <v>2605</v>
      </c>
      <c r="K470" s="3" t="s">
        <v>2606</v>
      </c>
      <c r="L470" t="s">
        <v>22</v>
      </c>
    </row>
    <row r="471" spans="1:12">
      <c r="A471" s="1" t="s">
        <v>2607</v>
      </c>
      <c r="B471" s="2" t="str">
        <f>HYPERLINK("https://docket.philalegal.org/cgi-bin/proxy.pl?ct=160603837","160603837")</f>
        <v>160603837</v>
      </c>
      <c r="C471" s="3" t="s">
        <v>2601</v>
      </c>
      <c r="D471" s="3" t="s">
        <v>15</v>
      </c>
      <c r="E471" s="3" t="s">
        <v>2417</v>
      </c>
      <c r="F471" s="3" t="s">
        <v>105</v>
      </c>
      <c r="G471" s="3" t="s">
        <v>2608</v>
      </c>
      <c r="H471" s="3" t="s">
        <v>2603</v>
      </c>
      <c r="I471" s="3" t="s">
        <v>2604</v>
      </c>
      <c r="J471" s="3" t="s">
        <v>2605</v>
      </c>
      <c r="K471" s="3" t="s">
        <v>2609</v>
      </c>
      <c r="L471" t="s">
        <v>22</v>
      </c>
    </row>
    <row r="472" spans="1:12">
      <c r="A472" s="1" t="s">
        <v>2610</v>
      </c>
      <c r="B472" s="2" t="str">
        <f>HYPERLINK("https://docket.philalegal.org/cgi-bin/proxy.pl?ct=130603843","130603843")</f>
        <v>130603843</v>
      </c>
      <c r="C472" s="3" t="s">
        <v>2611</v>
      </c>
      <c r="D472" s="3" t="s">
        <v>96</v>
      </c>
      <c r="E472" s="3" t="s">
        <v>2417</v>
      </c>
      <c r="F472" s="3" t="s">
        <v>17</v>
      </c>
      <c r="G472" s="3" t="s">
        <v>2612</v>
      </c>
      <c r="H472" s="3" t="s">
        <v>1449</v>
      </c>
      <c r="I472" s="3" t="s">
        <v>2613</v>
      </c>
      <c r="J472" s="3">
        <v>365133200</v>
      </c>
      <c r="K472" s="3" t="s">
        <v>2614</v>
      </c>
      <c r="L472" s="6" t="s">
        <v>2615</v>
      </c>
    </row>
    <row r="473" spans="1:12">
      <c r="A473" s="1" t="s">
        <v>2616</v>
      </c>
      <c r="B473" s="2" t="str">
        <f>HYPERLINK("https://docket.philalegal.org/cgi-bin/proxy.pl?ct=220201626","220201626")</f>
        <v>220201626</v>
      </c>
      <c r="C473" s="3" t="s">
        <v>2617</v>
      </c>
      <c r="D473" s="3" t="s">
        <v>49</v>
      </c>
      <c r="E473" s="3" t="s">
        <v>2417</v>
      </c>
      <c r="F473" s="3" t="s">
        <v>17</v>
      </c>
      <c r="G473" s="3" t="s">
        <v>2618</v>
      </c>
      <c r="H473" s="3"/>
      <c r="I473" s="3" t="s">
        <v>2619</v>
      </c>
      <c r="J473" s="3">
        <v>462072000</v>
      </c>
      <c r="K473" s="3" t="s">
        <v>2620</v>
      </c>
      <c r="L473" t="s">
        <v>1358</v>
      </c>
    </row>
    <row r="474" spans="1:12">
      <c r="A474" s="1" t="s">
        <v>2621</v>
      </c>
      <c r="B474" s="2" t="str">
        <f>HYPERLINK("https://docket.philalegal.org/cgi-bin/proxy.pl?ct=220102237","220102237")</f>
        <v>220102237</v>
      </c>
      <c r="C474" s="3" t="s">
        <v>2622</v>
      </c>
      <c r="D474" s="3" t="s">
        <v>26</v>
      </c>
      <c r="E474" s="3" t="s">
        <v>2417</v>
      </c>
      <c r="F474" s="3" t="s">
        <v>17</v>
      </c>
      <c r="G474" s="3" t="s">
        <v>2623</v>
      </c>
      <c r="H474" s="3" t="s">
        <v>2624</v>
      </c>
      <c r="I474" s="3" t="s">
        <v>2625</v>
      </c>
      <c r="J474" s="3">
        <v>183044605</v>
      </c>
      <c r="K474" s="3" t="s">
        <v>2469</v>
      </c>
      <c r="L474" t="s">
        <v>22</v>
      </c>
    </row>
    <row r="475" spans="1:12">
      <c r="A475" s="1" t="s">
        <v>2626</v>
      </c>
      <c r="B475" s="2" t="str">
        <f>HYPERLINK("https://docket.philalegal.org/cgi-bin/proxy.pl?ct=220303236","220303236")</f>
        <v>220303236</v>
      </c>
      <c r="C475" s="3" t="s">
        <v>2627</v>
      </c>
      <c r="D475" s="3" t="s">
        <v>49</v>
      </c>
      <c r="E475" s="3" t="s">
        <v>2417</v>
      </c>
      <c r="F475" s="3" t="s">
        <v>17</v>
      </c>
      <c r="G475" s="3" t="s">
        <v>2628</v>
      </c>
      <c r="H475" s="3"/>
      <c r="I475" s="3" t="s">
        <v>2629</v>
      </c>
      <c r="J475" s="3">
        <v>365066100</v>
      </c>
      <c r="K475" s="3" t="s">
        <v>2630</v>
      </c>
      <c r="L475" t="s">
        <v>1358</v>
      </c>
    </row>
    <row r="476" spans="1:12">
      <c r="A476" s="1" t="s">
        <v>2631</v>
      </c>
      <c r="B476" s="2" t="str">
        <f>HYPERLINK("https://docket.philalegal.org/cgi-bin/proxy.pl?ct=121201370","121201370")</f>
        <v>121201370</v>
      </c>
      <c r="C476" s="3" t="s">
        <v>2632</v>
      </c>
      <c r="D476" s="3" t="s">
        <v>26</v>
      </c>
      <c r="E476" s="3" t="s">
        <v>2417</v>
      </c>
      <c r="F476" s="3" t="s">
        <v>17</v>
      </c>
      <c r="G476" s="3" t="s">
        <v>2633</v>
      </c>
      <c r="H476" s="3" t="s">
        <v>2499</v>
      </c>
      <c r="I476" s="3" t="s">
        <v>2634</v>
      </c>
      <c r="J476" s="3" t="s">
        <v>2635</v>
      </c>
      <c r="K476" s="3" t="s">
        <v>2489</v>
      </c>
      <c r="L476" t="s">
        <v>2229</v>
      </c>
    </row>
    <row r="477" spans="1:12">
      <c r="A477" s="1" t="s">
        <v>2636</v>
      </c>
      <c r="B477" s="2" t="str">
        <f>HYPERLINK("https://docket.philalegal.org/cgi-bin/proxy.pl?ct=130100387","130100387")</f>
        <v>130100387</v>
      </c>
      <c r="C477" s="3" t="s">
        <v>2637</v>
      </c>
      <c r="D477" s="3" t="s">
        <v>1298</v>
      </c>
      <c r="E477" s="3" t="s">
        <v>2417</v>
      </c>
      <c r="F477" s="3" t="s">
        <v>17</v>
      </c>
      <c r="G477" s="3" t="s">
        <v>2638</v>
      </c>
      <c r="H477" s="3" t="s">
        <v>803</v>
      </c>
      <c r="I477" s="3" t="s">
        <v>2639</v>
      </c>
      <c r="J477" s="3">
        <v>365133300</v>
      </c>
      <c r="K477" s="3" t="s">
        <v>2640</v>
      </c>
      <c r="L477" t="s">
        <v>2248</v>
      </c>
    </row>
    <row r="478" spans="1:12">
      <c r="A478" s="1" t="s">
        <v>2641</v>
      </c>
      <c r="B478" s="2" t="str">
        <f>HYPERLINK("https://docket.philalegal.org/cgi-bin/proxy.pl?ct=221202173","221202173")</f>
        <v>221202173</v>
      </c>
      <c r="C478" s="3" t="s">
        <v>2642</v>
      </c>
      <c r="D478" s="3" t="s">
        <v>61</v>
      </c>
      <c r="E478" s="3" t="s">
        <v>2417</v>
      </c>
      <c r="F478" s="3" t="s">
        <v>17</v>
      </c>
      <c r="G478" s="3" t="s">
        <v>2643</v>
      </c>
      <c r="H478" s="3"/>
      <c r="I478" s="3" t="s">
        <v>2644</v>
      </c>
      <c r="J478" s="3">
        <v>662058200</v>
      </c>
      <c r="K478" s="3" t="s">
        <v>2645</v>
      </c>
      <c r="L478" t="s">
        <v>22</v>
      </c>
    </row>
    <row r="479" spans="1:12">
      <c r="A479" s="1" t="s">
        <v>2646</v>
      </c>
      <c r="B479" s="2" t="str">
        <f>HYPERLINK("https://docket.philalegal.org/cgi-bin/proxy.pl?ct=151201813","151201813")</f>
        <v>151201813</v>
      </c>
      <c r="C479" s="3" t="s">
        <v>2647</v>
      </c>
      <c r="D479" s="3" t="s">
        <v>96</v>
      </c>
      <c r="E479" s="3" t="s">
        <v>2417</v>
      </c>
      <c r="F479" s="3" t="s">
        <v>105</v>
      </c>
      <c r="G479" s="3" t="s">
        <v>2648</v>
      </c>
      <c r="H479" s="3" t="s">
        <v>2649</v>
      </c>
      <c r="I479" s="3" t="s">
        <v>2650</v>
      </c>
      <c r="J479" s="3">
        <v>234159700</v>
      </c>
      <c r="K479" s="3" t="s">
        <v>2651</v>
      </c>
      <c r="L479" t="s">
        <v>2248</v>
      </c>
    </row>
    <row r="480" spans="1:12">
      <c r="A480" s="1" t="s">
        <v>2652</v>
      </c>
      <c r="B480" s="2" t="str">
        <f>HYPERLINK("https://docket.philalegal.org/cgi-bin/proxy.pl?ct=160401287","160401287")</f>
        <v>160401287</v>
      </c>
      <c r="C480" s="3" t="s">
        <v>2653</v>
      </c>
      <c r="D480" s="3" t="s">
        <v>96</v>
      </c>
      <c r="E480" s="3" t="s">
        <v>2417</v>
      </c>
      <c r="F480" s="3" t="s">
        <v>105</v>
      </c>
      <c r="G480" s="3" t="s">
        <v>2654</v>
      </c>
      <c r="H480" s="3"/>
      <c r="I480" s="3" t="s">
        <v>2655</v>
      </c>
      <c r="J480" s="3">
        <v>641218301</v>
      </c>
      <c r="K480" s="3" t="s">
        <v>2656</v>
      </c>
      <c r="L480" t="s">
        <v>2657</v>
      </c>
    </row>
    <row r="481" spans="1:12">
      <c r="A481" s="1" t="s">
        <v>2658</v>
      </c>
      <c r="B481" s="2" t="str">
        <f>HYPERLINK("https://docket.philalegal.org/cgi-bin/proxy.pl?ct=161200080","161200080")</f>
        <v>161200080</v>
      </c>
      <c r="C481" s="3" t="s">
        <v>2659</v>
      </c>
      <c r="D481" s="3" t="s">
        <v>96</v>
      </c>
      <c r="E481" s="3" t="s">
        <v>2417</v>
      </c>
      <c r="F481" s="3" t="s">
        <v>810</v>
      </c>
      <c r="G481" s="3" t="s">
        <v>2660</v>
      </c>
      <c r="H481" s="3" t="s">
        <v>2661</v>
      </c>
      <c r="I481" s="3" t="s">
        <v>2662</v>
      </c>
      <c r="J481" s="3">
        <v>871535430</v>
      </c>
      <c r="K481" s="3" t="s">
        <v>2663</v>
      </c>
      <c r="L481" t="s">
        <v>2248</v>
      </c>
    </row>
    <row r="482" spans="1:12">
      <c r="A482" s="1" t="s">
        <v>2664</v>
      </c>
      <c r="B482" s="2" t="str">
        <f>HYPERLINK("https://docket.philalegal.org/cgi-bin/proxy.pl?ct=160603034","160603034")</f>
        <v>160603034</v>
      </c>
      <c r="C482" s="3" t="s">
        <v>2665</v>
      </c>
      <c r="D482" s="3" t="s">
        <v>26</v>
      </c>
      <c r="E482" s="3" t="s">
        <v>2417</v>
      </c>
      <c r="F482" s="3" t="s">
        <v>105</v>
      </c>
      <c r="G482" s="3" t="s">
        <v>2666</v>
      </c>
      <c r="H482" s="3"/>
      <c r="I482" s="3" t="s">
        <v>2667</v>
      </c>
      <c r="J482" s="3" t="s">
        <v>2668</v>
      </c>
      <c r="K482" s="3" t="s">
        <v>2489</v>
      </c>
      <c r="L482" t="s">
        <v>22</v>
      </c>
    </row>
    <row r="483" spans="1:12">
      <c r="A483" s="1" t="s">
        <v>2669</v>
      </c>
      <c r="B483" s="2" t="str">
        <f>HYPERLINK("https://docket.philalegal.org/cgi-bin/proxy.pl?ct=161202317","161202317")</f>
        <v>161202317</v>
      </c>
      <c r="C483" s="3" t="s">
        <v>2670</v>
      </c>
      <c r="D483" s="3" t="s">
        <v>96</v>
      </c>
      <c r="E483" s="3" t="s">
        <v>2417</v>
      </c>
      <c r="F483" s="3" t="s">
        <v>105</v>
      </c>
      <c r="G483" s="3" t="s">
        <v>2671</v>
      </c>
      <c r="H483" s="3" t="s">
        <v>2672</v>
      </c>
      <c r="I483" s="3" t="s">
        <v>2673</v>
      </c>
      <c r="J483" s="3" t="s">
        <v>2674</v>
      </c>
      <c r="K483" s="3" t="s">
        <v>2675</v>
      </c>
      <c r="L483" t="s">
        <v>2615</v>
      </c>
    </row>
    <row r="484" spans="1:12">
      <c r="A484" s="1" t="s">
        <v>2676</v>
      </c>
      <c r="B484" s="2" t="str">
        <f>HYPERLINK("https://docket.philalegal.org/cgi-bin/proxy.pl?ct=220100030","220100030")</f>
        <v>220100030</v>
      </c>
      <c r="C484" s="3" t="s">
        <v>2677</v>
      </c>
      <c r="D484" s="3" t="s">
        <v>49</v>
      </c>
      <c r="E484" s="3" t="s">
        <v>2417</v>
      </c>
      <c r="F484" s="3" t="s">
        <v>17</v>
      </c>
      <c r="G484" s="3" t="s">
        <v>2678</v>
      </c>
      <c r="H484" s="3" t="s">
        <v>2679</v>
      </c>
      <c r="I484" s="3" t="s">
        <v>2680</v>
      </c>
      <c r="J484" s="3">
        <v>123131925</v>
      </c>
      <c r="K484" s="3" t="s">
        <v>2681</v>
      </c>
      <c r="L484" t="s">
        <v>1600</v>
      </c>
    </row>
    <row r="485" spans="1:12">
      <c r="A485" s="1" t="s">
        <v>2682</v>
      </c>
      <c r="B485" s="2" t="str">
        <f>HYPERLINK("https://docket.philalegal.org/cgi-bin/proxy.pl?ct=160401132","160401132")</f>
        <v>160401132</v>
      </c>
      <c r="C485" s="3" t="s">
        <v>2683</v>
      </c>
      <c r="D485" s="3" t="s">
        <v>26</v>
      </c>
      <c r="E485" s="3" t="s">
        <v>2417</v>
      </c>
      <c r="F485" s="3" t="s">
        <v>105</v>
      </c>
      <c r="G485" s="3" t="s">
        <v>2684</v>
      </c>
      <c r="H485" s="3"/>
      <c r="I485" s="3" t="s">
        <v>2685</v>
      </c>
      <c r="J485" s="3">
        <v>312126100</v>
      </c>
      <c r="K485" s="3" t="s">
        <v>2686</v>
      </c>
      <c r="L485" t="s">
        <v>22</v>
      </c>
    </row>
    <row r="486" spans="1:12">
      <c r="A486" s="1" t="s">
        <v>2687</v>
      </c>
      <c r="B486" s="2" t="str">
        <f>HYPERLINK("https://docket.philalegal.org/cgi-bin/proxy.pl?ct=221101905","221101905")</f>
        <v>221101905</v>
      </c>
      <c r="C486" s="3" t="s">
        <v>2688</v>
      </c>
      <c r="D486" s="3" t="s">
        <v>656</v>
      </c>
      <c r="E486" s="3" t="s">
        <v>2417</v>
      </c>
      <c r="F486" s="3" t="s">
        <v>17</v>
      </c>
      <c r="G486" s="3" t="s">
        <v>2689</v>
      </c>
      <c r="H486" s="3" t="s">
        <v>2690</v>
      </c>
      <c r="I486" s="3" t="s">
        <v>2691</v>
      </c>
      <c r="J486" s="3">
        <v>181415800</v>
      </c>
      <c r="K486" s="3" t="s">
        <v>2692</v>
      </c>
      <c r="L486" t="s">
        <v>46</v>
      </c>
    </row>
    <row r="487" spans="1:12">
      <c r="A487" s="1" t="s">
        <v>2693</v>
      </c>
      <c r="B487" s="2" t="str">
        <f>HYPERLINK("https://docket.philalegal.org/cgi-bin/proxy.pl?ct=150203236","150203236")</f>
        <v>150203236</v>
      </c>
      <c r="C487" s="3" t="s">
        <v>2694</v>
      </c>
      <c r="D487" s="3" t="s">
        <v>189</v>
      </c>
      <c r="E487" s="3" t="s">
        <v>2417</v>
      </c>
      <c r="F487" s="3" t="s">
        <v>17</v>
      </c>
      <c r="G487" s="3" t="s">
        <v>2695</v>
      </c>
      <c r="H487" s="3" t="s">
        <v>158</v>
      </c>
      <c r="I487" s="3" t="s">
        <v>2696</v>
      </c>
      <c r="J487" s="3">
        <v>363170500</v>
      </c>
      <c r="K487" s="3" t="s">
        <v>2697</v>
      </c>
      <c r="L487" t="s">
        <v>437</v>
      </c>
    </row>
    <row r="488" spans="1:12">
      <c r="A488" s="1" t="s">
        <v>2698</v>
      </c>
      <c r="B488" s="2" t="str">
        <f>HYPERLINK("https://docket.philalegal.org/cgi-bin/proxy.pl?ct=150602773","150602773")</f>
        <v>150602773</v>
      </c>
      <c r="C488" s="3" t="s">
        <v>2699</v>
      </c>
      <c r="D488" s="3" t="s">
        <v>26</v>
      </c>
      <c r="E488" s="3" t="s">
        <v>2417</v>
      </c>
      <c r="F488" s="3" t="s">
        <v>17</v>
      </c>
      <c r="G488" s="3" t="s">
        <v>2700</v>
      </c>
      <c r="H488" s="3" t="s">
        <v>803</v>
      </c>
      <c r="I488" s="3" t="s">
        <v>2701</v>
      </c>
      <c r="J488" s="3">
        <v>365249400</v>
      </c>
      <c r="K488" s="3" t="s">
        <v>2702</v>
      </c>
      <c r="L488" t="s">
        <v>22</v>
      </c>
    </row>
    <row r="489" spans="1:12">
      <c r="A489" s="1" t="s">
        <v>2703</v>
      </c>
      <c r="B489" s="2" t="str">
        <f>HYPERLINK("https://docket.philalegal.org/cgi-bin/proxy.pl?ct=160200586","160200586")</f>
        <v>160200586</v>
      </c>
      <c r="C489" s="3" t="s">
        <v>2704</v>
      </c>
      <c r="D489" s="3" t="s">
        <v>26</v>
      </c>
      <c r="E489" s="3" t="s">
        <v>2417</v>
      </c>
      <c r="F489" s="3" t="s">
        <v>105</v>
      </c>
      <c r="G489" s="3" t="s">
        <v>2705</v>
      </c>
      <c r="H489" s="3"/>
      <c r="I489" s="3" t="s">
        <v>2706</v>
      </c>
      <c r="J489" s="3">
        <v>301239800</v>
      </c>
      <c r="K489" s="3" t="s">
        <v>2707</v>
      </c>
      <c r="L489" t="s">
        <v>22</v>
      </c>
    </row>
    <row r="490" spans="1:12">
      <c r="A490" s="1" t="s">
        <v>2708</v>
      </c>
      <c r="B490" s="2" t="str">
        <f>HYPERLINK("https://docket.philalegal.org/cgi-bin/proxy.pl?ct=220801457","220801457")</f>
        <v>220801457</v>
      </c>
      <c r="C490" s="3" t="s">
        <v>2709</v>
      </c>
      <c r="D490" s="3" t="s">
        <v>49</v>
      </c>
      <c r="E490" s="3" t="s">
        <v>2417</v>
      </c>
      <c r="F490" s="3" t="s">
        <v>17</v>
      </c>
      <c r="G490" s="3" t="s">
        <v>2710</v>
      </c>
      <c r="H490" s="3" t="s">
        <v>1591</v>
      </c>
      <c r="I490" s="3" t="s">
        <v>2711</v>
      </c>
      <c r="J490" s="3">
        <v>871518560</v>
      </c>
      <c r="K490" s="3" t="s">
        <v>2712</v>
      </c>
      <c r="L490" t="s">
        <v>1981</v>
      </c>
    </row>
    <row r="491" spans="1:12">
      <c r="A491" s="1" t="s">
        <v>2713</v>
      </c>
      <c r="B491" s="2" t="str">
        <f>HYPERLINK("https://docket.philalegal.org/cgi-bin/proxy.pl?ct=210502167","210502167")</f>
        <v>210502167</v>
      </c>
      <c r="C491" s="3" t="s">
        <v>2714</v>
      </c>
      <c r="D491" s="3" t="s">
        <v>49</v>
      </c>
      <c r="E491" s="3" t="s">
        <v>2417</v>
      </c>
      <c r="F491" s="3" t="s">
        <v>89</v>
      </c>
      <c r="G491" s="3" t="s">
        <v>2715</v>
      </c>
      <c r="H491" s="3" t="s">
        <v>2716</v>
      </c>
      <c r="I491" s="3" t="s">
        <v>2717</v>
      </c>
      <c r="J491" s="3">
        <v>411367500</v>
      </c>
      <c r="K491" s="3" t="s">
        <v>2718</v>
      </c>
      <c r="L491" t="s">
        <v>1981</v>
      </c>
    </row>
    <row r="492" spans="1:12">
      <c r="A492" s="1" t="s">
        <v>2719</v>
      </c>
      <c r="B492" s="2" t="str">
        <f>HYPERLINK("https://docket.philalegal.org/cgi-bin/proxy.pl?ct=160400235","160400235")</f>
        <v>160400235</v>
      </c>
      <c r="C492" s="3" t="s">
        <v>2720</v>
      </c>
      <c r="D492" s="3" t="s">
        <v>96</v>
      </c>
      <c r="E492" s="3" t="s">
        <v>2417</v>
      </c>
      <c r="F492" s="3" t="s">
        <v>105</v>
      </c>
      <c r="G492" s="3" t="s">
        <v>2721</v>
      </c>
      <c r="H492" s="3" t="s">
        <v>2722</v>
      </c>
      <c r="I492" s="3" t="s">
        <v>2723</v>
      </c>
      <c r="J492" s="3">
        <v>365308600</v>
      </c>
      <c r="K492" s="3" t="s">
        <v>2724</v>
      </c>
      <c r="L492" t="s">
        <v>2248</v>
      </c>
    </row>
    <row r="493" spans="1:12">
      <c r="A493" s="1" t="s">
        <v>2725</v>
      </c>
      <c r="B493" s="2" t="str">
        <f>HYPERLINK("https://docket.philalegal.org/cgi-bin/proxy.pl?ct=130702252","130702252")</f>
        <v>130702252</v>
      </c>
      <c r="C493" s="3" t="s">
        <v>2726</v>
      </c>
      <c r="D493" s="3" t="s">
        <v>26</v>
      </c>
      <c r="E493" s="3" t="s">
        <v>2417</v>
      </c>
      <c r="F493" s="3" t="s">
        <v>2727</v>
      </c>
      <c r="G493" s="3" t="s">
        <v>2728</v>
      </c>
      <c r="H493" s="3"/>
      <c r="I493" s="3" t="s">
        <v>2729</v>
      </c>
      <c r="J493" s="3">
        <v>361059600</v>
      </c>
      <c r="K493" s="3" t="s">
        <v>2730</v>
      </c>
      <c r="L493" t="s">
        <v>22</v>
      </c>
    </row>
    <row r="494" spans="1:12">
      <c r="A494" s="1" t="s">
        <v>2731</v>
      </c>
      <c r="B494" s="2" t="str">
        <f>HYPERLINK("https://docket.philalegal.org/cgi-bin/proxy.pl?ct=180700625","180700625")</f>
        <v>180700625</v>
      </c>
      <c r="C494" s="3" t="s">
        <v>2732</v>
      </c>
      <c r="D494" s="3" t="s">
        <v>96</v>
      </c>
      <c r="E494" s="3" t="s">
        <v>2417</v>
      </c>
      <c r="F494" s="3" t="s">
        <v>810</v>
      </c>
      <c r="G494" s="3" t="s">
        <v>2733</v>
      </c>
      <c r="H494" s="3"/>
      <c r="I494" s="3" t="s">
        <v>2734</v>
      </c>
      <c r="J494" s="3">
        <v>392199300</v>
      </c>
      <c r="K494" s="3" t="s">
        <v>2735</v>
      </c>
      <c r="L494" t="s">
        <v>2248</v>
      </c>
    </row>
    <row r="495" spans="1:12">
      <c r="A495" s="1" t="s">
        <v>2736</v>
      </c>
      <c r="B495" s="2" t="str">
        <f>HYPERLINK("https://docket.philalegal.org/cgi-bin/proxy.pl?ct=150402259","150402259")</f>
        <v>150402259</v>
      </c>
      <c r="C495" s="3" t="s">
        <v>2737</v>
      </c>
      <c r="D495" s="3" t="s">
        <v>96</v>
      </c>
      <c r="E495" s="3" t="s">
        <v>2417</v>
      </c>
      <c r="F495" s="3" t="s">
        <v>17</v>
      </c>
      <c r="G495" s="3" t="s">
        <v>2738</v>
      </c>
      <c r="H495" s="3"/>
      <c r="I495" s="3" t="s">
        <v>2739</v>
      </c>
      <c r="J495" s="3">
        <v>365056800</v>
      </c>
      <c r="K495" s="3" t="s">
        <v>2740</v>
      </c>
      <c r="L495" t="s">
        <v>195</v>
      </c>
    </row>
    <row r="496" spans="1:12">
      <c r="A496" s="1" t="s">
        <v>2741</v>
      </c>
      <c r="B496" s="2" t="str">
        <f>HYPERLINK("https://docket.philalegal.org/cgi-bin/proxy.pl?ct=150603606","150603606")</f>
        <v>150603606</v>
      </c>
      <c r="C496" s="3" t="s">
        <v>2737</v>
      </c>
      <c r="D496" s="3" t="s">
        <v>26</v>
      </c>
      <c r="E496" s="3" t="s">
        <v>2417</v>
      </c>
      <c r="F496" s="3" t="s">
        <v>17</v>
      </c>
      <c r="G496" s="3" t="s">
        <v>2738</v>
      </c>
      <c r="H496" s="3" t="s">
        <v>2742</v>
      </c>
      <c r="I496" s="3" t="s">
        <v>2739</v>
      </c>
      <c r="J496" s="3">
        <v>365056800</v>
      </c>
      <c r="K496" s="3" t="s">
        <v>2743</v>
      </c>
      <c r="L496" t="s">
        <v>22</v>
      </c>
    </row>
    <row r="497" spans="1:12">
      <c r="A497" s="1" t="s">
        <v>2744</v>
      </c>
      <c r="B497" s="2" t="str">
        <f>HYPERLINK("https://docket.philalegal.org/cgi-bin/proxy.pl?ct=140201134","140201134")</f>
        <v>140201134</v>
      </c>
      <c r="C497" s="3" t="s">
        <v>2745</v>
      </c>
      <c r="D497" s="3" t="s">
        <v>96</v>
      </c>
      <c r="E497" s="3" t="s">
        <v>2417</v>
      </c>
      <c r="F497" s="3" t="s">
        <v>17</v>
      </c>
      <c r="G497" s="3" t="s">
        <v>2746</v>
      </c>
      <c r="H497" s="3" t="s">
        <v>2747</v>
      </c>
      <c r="I497" s="3" t="s">
        <v>2685</v>
      </c>
      <c r="J497" s="3">
        <v>312126100</v>
      </c>
      <c r="K497" s="3" t="s">
        <v>2748</v>
      </c>
      <c r="L497" t="s">
        <v>203</v>
      </c>
    </row>
    <row r="498" spans="1:12">
      <c r="A498" s="1" t="s">
        <v>2749</v>
      </c>
      <c r="B498" s="2" t="str">
        <f>HYPERLINK("https://docket.philalegal.org/cgi-bin/proxy.pl?ct=191100702","191100702")</f>
        <v>191100702</v>
      </c>
      <c r="C498" s="3" t="s">
        <v>2750</v>
      </c>
      <c r="D498" s="3" t="s">
        <v>15</v>
      </c>
      <c r="E498" s="3" t="s">
        <v>2417</v>
      </c>
      <c r="F498" s="3" t="s">
        <v>810</v>
      </c>
      <c r="G498" s="3" t="s">
        <v>2751</v>
      </c>
      <c r="H498" s="3" t="s">
        <v>2752</v>
      </c>
      <c r="I498" s="3" t="s">
        <v>2753</v>
      </c>
      <c r="J498" s="3" t="s">
        <v>2754</v>
      </c>
      <c r="K498" s="3" t="s">
        <v>2755</v>
      </c>
      <c r="L498" t="s">
        <v>22</v>
      </c>
    </row>
    <row r="499" spans="1:12">
      <c r="A499" s="1" t="s">
        <v>2756</v>
      </c>
      <c r="B499" s="2" t="str">
        <f>HYPERLINK("https://docket.philalegal.org/cgi-bin/proxy.pl?ct=131000147","131000147")</f>
        <v>131000147</v>
      </c>
      <c r="C499" s="3"/>
      <c r="D499" s="3" t="s">
        <v>26</v>
      </c>
      <c r="E499" s="3" t="s">
        <v>2417</v>
      </c>
      <c r="F499" s="3" t="s">
        <v>17</v>
      </c>
      <c r="G499" s="3" t="s">
        <v>2757</v>
      </c>
      <c r="H499" s="3" t="s">
        <v>2758</v>
      </c>
      <c r="I499" s="3" t="s">
        <v>2759</v>
      </c>
      <c r="J499" s="3">
        <v>365364500</v>
      </c>
      <c r="K499" s="3" t="s">
        <v>2489</v>
      </c>
      <c r="L499" t="s">
        <v>22</v>
      </c>
    </row>
    <row r="500" spans="1:12">
      <c r="A500" s="1" t="s">
        <v>2760</v>
      </c>
      <c r="B500" s="2" t="str">
        <f>HYPERLINK("https://docket.philalegal.org/cgi-bin/proxy.pl?ct=221102413","221102413")</f>
        <v>221102413</v>
      </c>
      <c r="C500" s="3" t="s">
        <v>2761</v>
      </c>
      <c r="D500" s="3" t="s">
        <v>656</v>
      </c>
      <c r="E500" s="3" t="s">
        <v>2417</v>
      </c>
      <c r="F500" s="3" t="s">
        <v>17</v>
      </c>
      <c r="G500" s="3" t="s">
        <v>2762</v>
      </c>
      <c r="H500" s="3"/>
      <c r="I500" s="3" t="s">
        <v>1787</v>
      </c>
      <c r="J500" s="3">
        <v>181415900</v>
      </c>
      <c r="K500" s="3" t="s">
        <v>2763</v>
      </c>
      <c r="L500" t="s">
        <v>46</v>
      </c>
    </row>
    <row r="501" spans="1:12">
      <c r="A501" s="1" t="s">
        <v>2764</v>
      </c>
      <c r="B501" s="2" t="str">
        <f>HYPERLINK("https://docket.philalegal.org/cgi-bin/proxy.pl?ct=140603423","140603423")</f>
        <v>140603423</v>
      </c>
      <c r="C501" s="3" t="s">
        <v>2765</v>
      </c>
      <c r="D501" s="3" t="s">
        <v>26</v>
      </c>
      <c r="E501" s="3" t="s">
        <v>2417</v>
      </c>
      <c r="F501" s="3" t="s">
        <v>105</v>
      </c>
      <c r="G501" s="3" t="s">
        <v>2766</v>
      </c>
      <c r="H501" s="3" t="s">
        <v>2767</v>
      </c>
      <c r="I501" s="3" t="s">
        <v>2768</v>
      </c>
      <c r="J501" s="3">
        <v>301189200</v>
      </c>
      <c r="K501" s="3" t="s">
        <v>2769</v>
      </c>
      <c r="L501" t="s">
        <v>22</v>
      </c>
    </row>
    <row r="502" spans="1:12">
      <c r="A502" s="1" t="s">
        <v>2770</v>
      </c>
      <c r="B502" s="2" t="str">
        <f>HYPERLINK("https://docket.philalegal.org/cgi-bin/proxy.pl?ct=121101434","121101434")</f>
        <v>121101434</v>
      </c>
      <c r="C502" s="3" t="s">
        <v>2771</v>
      </c>
      <c r="D502" s="3" t="s">
        <v>96</v>
      </c>
      <c r="E502" s="3" t="s">
        <v>2417</v>
      </c>
      <c r="F502" s="3" t="s">
        <v>17</v>
      </c>
      <c r="G502" s="3" t="s">
        <v>2772</v>
      </c>
      <c r="H502" s="3" t="s">
        <v>2773</v>
      </c>
      <c r="I502" s="3" t="s">
        <v>2768</v>
      </c>
      <c r="J502" s="3">
        <v>301189200</v>
      </c>
      <c r="K502" s="3" t="s">
        <v>2564</v>
      </c>
      <c r="L502" t="s">
        <v>203</v>
      </c>
    </row>
    <row r="503" spans="1:12">
      <c r="A503" s="1" t="s">
        <v>2774</v>
      </c>
      <c r="B503" s="2" t="str">
        <f>HYPERLINK("https://docket.philalegal.org/cgi-bin/proxy.pl?ct=140902175","140902175")</f>
        <v>140902175</v>
      </c>
      <c r="C503" s="3" t="s">
        <v>2775</v>
      </c>
      <c r="D503" s="3" t="s">
        <v>26</v>
      </c>
      <c r="E503" s="3" t="s">
        <v>2417</v>
      </c>
      <c r="F503" s="3" t="s">
        <v>17</v>
      </c>
      <c r="G503" s="3" t="s">
        <v>2776</v>
      </c>
      <c r="H503" s="3" t="s">
        <v>234</v>
      </c>
      <c r="I503" s="3" t="s">
        <v>2777</v>
      </c>
      <c r="J503" s="3">
        <v>871172050</v>
      </c>
      <c r="K503" s="3" t="s">
        <v>2778</v>
      </c>
      <c r="L503" t="s">
        <v>22</v>
      </c>
    </row>
    <row r="504" spans="1:12">
      <c r="A504" s="1" t="s">
        <v>2779</v>
      </c>
      <c r="B504" s="2" t="str">
        <f>HYPERLINK("https://docket.philalegal.org/cgi-bin/proxy.pl?ct=160800002","160800002")</f>
        <v>160800002</v>
      </c>
      <c r="C504" s="3" t="s">
        <v>2780</v>
      </c>
      <c r="D504" s="3" t="s">
        <v>26</v>
      </c>
      <c r="E504" s="3" t="s">
        <v>2417</v>
      </c>
      <c r="F504" s="3" t="s">
        <v>105</v>
      </c>
      <c r="G504" s="3" t="s">
        <v>2781</v>
      </c>
      <c r="H504" s="3"/>
      <c r="I504" s="3" t="s">
        <v>2782</v>
      </c>
      <c r="J504" s="3">
        <v>411110400</v>
      </c>
      <c r="K504" s="3" t="s">
        <v>2783</v>
      </c>
      <c r="L504" t="s">
        <v>22</v>
      </c>
    </row>
    <row r="505" spans="1:12">
      <c r="A505" s="1" t="s">
        <v>2784</v>
      </c>
      <c r="B505" s="2" t="str">
        <f>HYPERLINK("https://docket.philalegal.org/cgi-bin/proxy.pl?ct=200102557","200102557")</f>
        <v>200102557</v>
      </c>
      <c r="C505" s="3" t="s">
        <v>2785</v>
      </c>
      <c r="D505" s="3" t="s">
        <v>15</v>
      </c>
      <c r="E505" s="3" t="s">
        <v>2417</v>
      </c>
      <c r="F505" s="3" t="s">
        <v>2786</v>
      </c>
      <c r="G505" s="3" t="s">
        <v>2787</v>
      </c>
      <c r="H505" s="3" t="s">
        <v>2788</v>
      </c>
      <c r="I505" s="3" t="s">
        <v>2789</v>
      </c>
      <c r="J505" s="3">
        <v>412432500</v>
      </c>
      <c r="K505" s="3" t="s">
        <v>2790</v>
      </c>
      <c r="L505" t="s">
        <v>209</v>
      </c>
    </row>
    <row r="506" spans="1:12">
      <c r="A506" s="1" t="s">
        <v>2791</v>
      </c>
      <c r="B506" s="2" t="str">
        <f>HYPERLINK("https://docket.philalegal.org/cgi-bin/proxy.pl?ct=201200662","201200662")</f>
        <v>201200662</v>
      </c>
      <c r="C506" s="3" t="s">
        <v>2792</v>
      </c>
      <c r="D506" s="3" t="s">
        <v>49</v>
      </c>
      <c r="E506" s="3" t="s">
        <v>2417</v>
      </c>
      <c r="F506" s="3" t="s">
        <v>2793</v>
      </c>
      <c r="G506" s="3" t="s">
        <v>2794</v>
      </c>
      <c r="H506" s="3" t="s">
        <v>2795</v>
      </c>
      <c r="I506" s="3" t="s">
        <v>2796</v>
      </c>
      <c r="J506" s="3">
        <v>383071700</v>
      </c>
      <c r="K506" s="3" t="s">
        <v>2797</v>
      </c>
      <c r="L506" t="s">
        <v>2248</v>
      </c>
    </row>
    <row r="507" spans="1:12">
      <c r="A507" s="1" t="s">
        <v>2798</v>
      </c>
      <c r="B507" s="2" t="str">
        <f>HYPERLINK("https://docket.philalegal.org/cgi-bin/proxy.pl?ct=130100390","130100390")</f>
        <v>130100390</v>
      </c>
      <c r="C507" s="3" t="s">
        <v>2799</v>
      </c>
      <c r="D507" s="3" t="s">
        <v>189</v>
      </c>
      <c r="E507" s="3" t="s">
        <v>2417</v>
      </c>
      <c r="F507" s="3" t="s">
        <v>17</v>
      </c>
      <c r="G507" s="3" t="s">
        <v>1203</v>
      </c>
      <c r="H507" s="3" t="s">
        <v>2800</v>
      </c>
      <c r="I507" s="3" t="s">
        <v>2801</v>
      </c>
      <c r="J507" s="3">
        <v>301178500</v>
      </c>
      <c r="K507" s="3" t="s">
        <v>2802</v>
      </c>
      <c r="L507" t="s">
        <v>22</v>
      </c>
    </row>
    <row r="508" spans="1:12">
      <c r="A508" s="1" t="s">
        <v>2803</v>
      </c>
      <c r="B508" s="2" t="str">
        <f>HYPERLINK("https://docket.philalegal.org/cgi-bin/proxy.pl?ct=130300212","130300212")</f>
        <v>130300212</v>
      </c>
      <c r="C508" s="3" t="s">
        <v>2804</v>
      </c>
      <c r="D508" s="3" t="s">
        <v>15</v>
      </c>
      <c r="E508" s="3" t="s">
        <v>2417</v>
      </c>
      <c r="F508" s="3" t="s">
        <v>17</v>
      </c>
      <c r="G508" s="3" t="s">
        <v>2805</v>
      </c>
      <c r="H508" s="3" t="s">
        <v>2806</v>
      </c>
      <c r="I508" s="3" t="s">
        <v>2807</v>
      </c>
      <c r="J508" s="3">
        <v>301178400</v>
      </c>
      <c r="K508" s="3" t="s">
        <v>2808</v>
      </c>
      <c r="L508" t="s">
        <v>22</v>
      </c>
    </row>
    <row r="509" spans="1:12">
      <c r="A509" s="1" t="s">
        <v>2809</v>
      </c>
      <c r="B509" s="2" t="str">
        <f>HYPERLINK("https://docket.philalegal.org/cgi-bin/proxy.pl?ct=220800455","220800455")</f>
        <v>220800455</v>
      </c>
      <c r="C509" s="3" t="s">
        <v>2804</v>
      </c>
      <c r="D509" s="3" t="s">
        <v>49</v>
      </c>
      <c r="E509" s="3" t="s">
        <v>2417</v>
      </c>
      <c r="F509" s="3" t="s">
        <v>17</v>
      </c>
      <c r="G509" s="3" t="s">
        <v>2810</v>
      </c>
      <c r="H509" s="3"/>
      <c r="I509" s="3" t="s">
        <v>2811</v>
      </c>
      <c r="J509" s="3">
        <v>394486200</v>
      </c>
      <c r="K509" s="3" t="s">
        <v>2812</v>
      </c>
      <c r="L509" t="s">
        <v>46</v>
      </c>
    </row>
    <row r="510" spans="1:12">
      <c r="A510" s="1" t="s">
        <v>2813</v>
      </c>
      <c r="B510" s="2" t="str">
        <f>HYPERLINK("https://docket.philalegal.org/cgi-bin/proxy.pl?ct=121003278","121003278")</f>
        <v>121003278</v>
      </c>
      <c r="C510" s="3" t="s">
        <v>2814</v>
      </c>
      <c r="D510" s="3" t="s">
        <v>26</v>
      </c>
      <c r="E510" s="3" t="s">
        <v>2417</v>
      </c>
      <c r="F510" s="3" t="s">
        <v>17</v>
      </c>
      <c r="G510" s="3" t="s">
        <v>2815</v>
      </c>
      <c r="H510" s="3" t="s">
        <v>2816</v>
      </c>
      <c r="I510" s="3" t="s">
        <v>2817</v>
      </c>
      <c r="J510" s="3" t="s">
        <v>2543</v>
      </c>
      <c r="K510" s="3" t="s">
        <v>2818</v>
      </c>
      <c r="L510" t="s">
        <v>22</v>
      </c>
    </row>
    <row r="511" spans="1:12">
      <c r="A511" s="1" t="s">
        <v>2819</v>
      </c>
      <c r="B511" s="2" t="str">
        <f>HYPERLINK("https://docket.philalegal.org/cgi-bin/proxy.pl?ct=170102593","170102593")</f>
        <v>170102593</v>
      </c>
      <c r="C511" s="3" t="s">
        <v>2820</v>
      </c>
      <c r="D511" s="3" t="s">
        <v>15</v>
      </c>
      <c r="E511" s="3" t="s">
        <v>2417</v>
      </c>
      <c r="F511" s="3" t="s">
        <v>810</v>
      </c>
      <c r="G511" s="3" t="s">
        <v>2821</v>
      </c>
      <c r="H511" s="3" t="s">
        <v>2822</v>
      </c>
      <c r="I511" s="3" t="s">
        <v>2823</v>
      </c>
      <c r="J511" s="3">
        <v>776288000</v>
      </c>
      <c r="K511" s="3" t="s">
        <v>2824</v>
      </c>
      <c r="L511" t="s">
        <v>22</v>
      </c>
    </row>
    <row r="512" spans="1:12">
      <c r="A512" s="1" t="s">
        <v>2825</v>
      </c>
      <c r="B512" s="2" t="str">
        <f>HYPERLINK("https://docket.philalegal.org/cgi-bin/proxy.pl?ct=150500892","150500892")</f>
        <v>150500892</v>
      </c>
      <c r="C512" s="3" t="s">
        <v>2826</v>
      </c>
      <c r="D512" s="3" t="s">
        <v>96</v>
      </c>
      <c r="E512" s="3" t="s">
        <v>2417</v>
      </c>
      <c r="F512" s="3" t="s">
        <v>17</v>
      </c>
      <c r="G512" s="3" t="s">
        <v>2827</v>
      </c>
      <c r="H512" s="3"/>
      <c r="I512" s="3" t="s">
        <v>2828</v>
      </c>
      <c r="J512" s="3">
        <v>251323000</v>
      </c>
      <c r="K512" s="3" t="s">
        <v>2829</v>
      </c>
      <c r="L512" t="s">
        <v>195</v>
      </c>
    </row>
    <row r="513" spans="1:12">
      <c r="A513" s="1" t="s">
        <v>2830</v>
      </c>
      <c r="B513" s="2" t="str">
        <f>HYPERLINK("https://docket.philalegal.org/cgi-bin/proxy.pl?ct=160100905","160100905")</f>
        <v>160100905</v>
      </c>
      <c r="C513" s="3" t="s">
        <v>2826</v>
      </c>
      <c r="D513" s="3" t="s">
        <v>96</v>
      </c>
      <c r="E513" s="3" t="s">
        <v>2417</v>
      </c>
      <c r="F513" s="3" t="s">
        <v>105</v>
      </c>
      <c r="G513" s="3" t="s">
        <v>2831</v>
      </c>
      <c r="H513" s="3"/>
      <c r="I513" s="3" t="s">
        <v>2828</v>
      </c>
      <c r="J513" s="3">
        <v>251323000</v>
      </c>
      <c r="K513" s="3" t="s">
        <v>2832</v>
      </c>
      <c r="L513" t="s">
        <v>2248</v>
      </c>
    </row>
    <row r="514" spans="1:12">
      <c r="A514" s="1" t="s">
        <v>2833</v>
      </c>
      <c r="B514" s="2" t="str">
        <f>HYPERLINK("https://docket.philalegal.org/cgi-bin/proxy.pl?ct=131101116","131101116")</f>
        <v>131101116</v>
      </c>
      <c r="C514" s="3" t="s">
        <v>2834</v>
      </c>
      <c r="D514" s="3" t="s">
        <v>96</v>
      </c>
      <c r="E514" s="3" t="s">
        <v>2417</v>
      </c>
      <c r="F514" s="3" t="s">
        <v>105</v>
      </c>
      <c r="G514" s="3" t="s">
        <v>2835</v>
      </c>
      <c r="H514" s="3" t="s">
        <v>2836</v>
      </c>
      <c r="I514" s="3" t="s">
        <v>2837</v>
      </c>
      <c r="J514" s="3">
        <v>301095900</v>
      </c>
      <c r="K514" s="3" t="s">
        <v>2838</v>
      </c>
      <c r="L514" t="s">
        <v>2839</v>
      </c>
    </row>
    <row r="515" spans="1:12">
      <c r="A515" s="1" t="s">
        <v>2840</v>
      </c>
      <c r="B515" s="2" t="str">
        <f>HYPERLINK("https://docket.philalegal.org/cgi-bin/proxy.pl?ct=170801535","170801535")</f>
        <v>170801535</v>
      </c>
      <c r="C515" s="3" t="s">
        <v>2841</v>
      </c>
      <c r="D515" s="3" t="s">
        <v>96</v>
      </c>
      <c r="E515" s="3" t="s">
        <v>2417</v>
      </c>
      <c r="F515" s="3" t="s">
        <v>105</v>
      </c>
      <c r="G515" s="3" t="s">
        <v>2842</v>
      </c>
      <c r="H515" s="3"/>
      <c r="I515" s="3" t="s">
        <v>2843</v>
      </c>
      <c r="J515" s="3">
        <v>241155400</v>
      </c>
      <c r="K515" s="3" t="s">
        <v>2844</v>
      </c>
      <c r="L515" t="s">
        <v>203</v>
      </c>
    </row>
    <row r="516" spans="1:12">
      <c r="A516" s="1" t="s">
        <v>2845</v>
      </c>
      <c r="B516" s="2" t="str">
        <f>HYPERLINK("https://docket.philalegal.org/cgi-bin/proxy.pl?ct=130900731","130900731")</f>
        <v>130900731</v>
      </c>
      <c r="C516" s="3" t="s">
        <v>2846</v>
      </c>
      <c r="D516" s="3" t="s">
        <v>15</v>
      </c>
      <c r="E516" s="3" t="s">
        <v>2417</v>
      </c>
      <c r="F516" s="3" t="s">
        <v>17</v>
      </c>
      <c r="G516" s="3" t="s">
        <v>2847</v>
      </c>
      <c r="H516" s="3" t="s">
        <v>884</v>
      </c>
      <c r="I516" s="3" t="s">
        <v>2848</v>
      </c>
      <c r="J516" s="3" t="s">
        <v>2849</v>
      </c>
      <c r="K516" s="3" t="s">
        <v>2850</v>
      </c>
      <c r="L516" t="s">
        <v>22</v>
      </c>
    </row>
    <row r="517" spans="1:12">
      <c r="A517" s="1" t="s">
        <v>2851</v>
      </c>
      <c r="B517" s="2" t="str">
        <f>HYPERLINK("https://docket.philalegal.org/cgi-bin/proxy.pl?ct=160400998","160400998")</f>
        <v>160400998</v>
      </c>
      <c r="C517" s="3" t="s">
        <v>2852</v>
      </c>
      <c r="D517" s="3" t="s">
        <v>26</v>
      </c>
      <c r="E517" s="3" t="s">
        <v>2417</v>
      </c>
      <c r="F517" s="3" t="s">
        <v>105</v>
      </c>
      <c r="G517" s="3" t="s">
        <v>2853</v>
      </c>
      <c r="H517" s="3" t="s">
        <v>2854</v>
      </c>
      <c r="I517" s="3" t="s">
        <v>2855</v>
      </c>
      <c r="J517" s="3">
        <v>651277600</v>
      </c>
      <c r="K517" s="3" t="s">
        <v>2856</v>
      </c>
      <c r="L517" t="s">
        <v>22</v>
      </c>
    </row>
    <row r="518" spans="1:12">
      <c r="A518" s="1" t="s">
        <v>2857</v>
      </c>
      <c r="B518" s="2" t="str">
        <f>HYPERLINK("https://docket.philalegal.org/cgi-bin/proxy.pl?ct=130301274","130301274")</f>
        <v>130301274</v>
      </c>
      <c r="C518" s="3" t="s">
        <v>2858</v>
      </c>
      <c r="D518" s="3" t="s">
        <v>96</v>
      </c>
      <c r="E518" s="3" t="s">
        <v>2417</v>
      </c>
      <c r="F518" s="3" t="s">
        <v>17</v>
      </c>
      <c r="G518" s="3" t="s">
        <v>2859</v>
      </c>
      <c r="H518" s="3" t="s">
        <v>1301</v>
      </c>
      <c r="I518" s="3" t="s">
        <v>2860</v>
      </c>
      <c r="J518" s="3">
        <v>301396900</v>
      </c>
      <c r="K518" s="3" t="s">
        <v>2861</v>
      </c>
      <c r="L518" t="s">
        <v>2248</v>
      </c>
    </row>
    <row r="519" spans="1:12">
      <c r="A519" s="1" t="s">
        <v>2862</v>
      </c>
      <c r="B519" s="2" t="str">
        <f>HYPERLINK("https://docket.philalegal.org/cgi-bin/proxy.pl?ct=130302276","130302276")</f>
        <v>130302276</v>
      </c>
      <c r="C519" s="3" t="s">
        <v>2858</v>
      </c>
      <c r="D519" s="3" t="s">
        <v>96</v>
      </c>
      <c r="E519" s="3" t="s">
        <v>2417</v>
      </c>
      <c r="F519" s="3" t="s">
        <v>17</v>
      </c>
      <c r="G519" s="3" t="s">
        <v>2863</v>
      </c>
      <c r="H519" s="3" t="s">
        <v>2864</v>
      </c>
      <c r="I519" s="3" t="s">
        <v>2865</v>
      </c>
      <c r="J519" s="3">
        <v>301397000</v>
      </c>
      <c r="K519" s="3" t="s">
        <v>2866</v>
      </c>
      <c r="L519" t="s">
        <v>2248</v>
      </c>
    </row>
    <row r="520" spans="1:12">
      <c r="A520" s="1" t="s">
        <v>2867</v>
      </c>
      <c r="B520" s="2" t="str">
        <f>HYPERLINK("https://docket.philalegal.org/cgi-bin/proxy.pl?ct=160100091","160100091")</f>
        <v>160100091</v>
      </c>
      <c r="C520" s="3" t="s">
        <v>2868</v>
      </c>
      <c r="D520" s="3" t="s">
        <v>96</v>
      </c>
      <c r="E520" s="3" t="s">
        <v>2417</v>
      </c>
      <c r="F520" s="3" t="s">
        <v>2869</v>
      </c>
      <c r="G520" s="3" t="s">
        <v>2870</v>
      </c>
      <c r="H520" s="3"/>
      <c r="I520" s="3" t="s">
        <v>2871</v>
      </c>
      <c r="J520" s="3">
        <v>262273200</v>
      </c>
      <c r="K520" s="3" t="s">
        <v>2872</v>
      </c>
      <c r="L520" t="s">
        <v>195</v>
      </c>
    </row>
    <row r="521" spans="1:12">
      <c r="A521" s="1" t="s">
        <v>2873</v>
      </c>
      <c r="B521" s="2" t="str">
        <f>HYPERLINK("https://docket.philalegal.org/cgi-bin/proxy.pl?ct=160300322","160300322")</f>
        <v>160300322</v>
      </c>
      <c r="C521" s="3" t="s">
        <v>2874</v>
      </c>
      <c r="D521" s="3" t="s">
        <v>96</v>
      </c>
      <c r="E521" s="3" t="s">
        <v>2417</v>
      </c>
      <c r="F521" s="3" t="s">
        <v>166</v>
      </c>
      <c r="G521" s="3" t="s">
        <v>2342</v>
      </c>
      <c r="H521" s="3" t="s">
        <v>2875</v>
      </c>
      <c r="I521" s="3" t="s">
        <v>2876</v>
      </c>
      <c r="J521" s="3">
        <v>182301100</v>
      </c>
      <c r="K521" s="3" t="s">
        <v>2877</v>
      </c>
      <c r="L521" t="s">
        <v>2878</v>
      </c>
    </row>
    <row r="522" spans="1:12">
      <c r="A522" s="1" t="s">
        <v>2879</v>
      </c>
      <c r="B522" s="2" t="str">
        <f>HYPERLINK("https://docket.philalegal.org/cgi-bin/proxy.pl?ct=180700624","180700624")</f>
        <v>180700624</v>
      </c>
      <c r="C522" s="3" t="s">
        <v>2880</v>
      </c>
      <c r="D522" s="3" t="s">
        <v>96</v>
      </c>
      <c r="E522" s="3" t="s">
        <v>2417</v>
      </c>
      <c r="F522" s="3" t="s">
        <v>810</v>
      </c>
      <c r="G522" s="3" t="s">
        <v>2881</v>
      </c>
      <c r="H522" s="3"/>
      <c r="I522" s="3" t="s">
        <v>2882</v>
      </c>
      <c r="J522" s="3">
        <v>133147200</v>
      </c>
      <c r="K522" s="3" t="s">
        <v>2883</v>
      </c>
      <c r="L522" t="s">
        <v>2248</v>
      </c>
    </row>
    <row r="523" spans="1:12">
      <c r="A523" s="1" t="s">
        <v>2884</v>
      </c>
      <c r="B523" s="2" t="str">
        <f>HYPERLINK("https://docket.philalegal.org/cgi-bin/proxy.pl?ct=201101929","201101929")</f>
        <v>201101929</v>
      </c>
      <c r="C523" s="3" t="s">
        <v>2885</v>
      </c>
      <c r="D523" s="3" t="s">
        <v>49</v>
      </c>
      <c r="E523" s="3" t="s">
        <v>2417</v>
      </c>
      <c r="F523" s="3" t="s">
        <v>17</v>
      </c>
      <c r="G523" s="3" t="s">
        <v>2886</v>
      </c>
      <c r="H523" s="3" t="s">
        <v>2887</v>
      </c>
      <c r="I523" s="3" t="s">
        <v>2888</v>
      </c>
      <c r="J523" s="3">
        <v>885125420</v>
      </c>
      <c r="K523" s="3" t="s">
        <v>2889</v>
      </c>
      <c r="L523" t="s">
        <v>1358</v>
      </c>
    </row>
    <row r="524" spans="1:12">
      <c r="A524" s="1" t="s">
        <v>2890</v>
      </c>
      <c r="B524" s="2" t="str">
        <f>HYPERLINK("https://docket.philalegal.org/cgi-bin/proxy.pl?ct=131000302","131000302")</f>
        <v>131000302</v>
      </c>
      <c r="C524" s="3" t="s">
        <v>2891</v>
      </c>
      <c r="D524" s="3" t="s">
        <v>15</v>
      </c>
      <c r="E524" s="3" t="s">
        <v>2417</v>
      </c>
      <c r="F524" s="3" t="s">
        <v>17</v>
      </c>
      <c r="G524" s="3" t="s">
        <v>2892</v>
      </c>
      <c r="H524" s="3" t="s">
        <v>29</v>
      </c>
      <c r="I524" s="3" t="s">
        <v>2893</v>
      </c>
      <c r="J524" s="3" t="s">
        <v>2894</v>
      </c>
      <c r="K524" s="3" t="s">
        <v>2895</v>
      </c>
      <c r="L524" t="s">
        <v>22</v>
      </c>
    </row>
    <row r="525" spans="1:12">
      <c r="A525" s="1" t="s">
        <v>2896</v>
      </c>
      <c r="B525" s="2" t="str">
        <f>HYPERLINK("https://docket.philalegal.org/cgi-bin/proxy.pl?ct=161001405","161001405")</f>
        <v>161001405</v>
      </c>
      <c r="C525" s="3" t="s">
        <v>2897</v>
      </c>
      <c r="D525" s="3" t="s">
        <v>26</v>
      </c>
      <c r="E525" s="3" t="s">
        <v>2417</v>
      </c>
      <c r="F525" s="3" t="s">
        <v>105</v>
      </c>
      <c r="G525" s="3" t="s">
        <v>2898</v>
      </c>
      <c r="H525" s="3"/>
      <c r="I525" s="3" t="s">
        <v>2899</v>
      </c>
      <c r="J525" s="3">
        <v>241214700</v>
      </c>
      <c r="K525" s="3" t="s">
        <v>2012</v>
      </c>
      <c r="L525" t="s">
        <v>22</v>
      </c>
    </row>
    <row r="526" spans="1:12">
      <c r="A526" s="1" t="s">
        <v>2900</v>
      </c>
      <c r="B526" s="2" t="str">
        <f>HYPERLINK("https://docket.philalegal.org/cgi-bin/proxy.pl?ct=170600967","170600967")</f>
        <v>170600967</v>
      </c>
      <c r="C526" s="3" t="s">
        <v>2901</v>
      </c>
      <c r="D526" s="3" t="s">
        <v>26</v>
      </c>
      <c r="E526" s="3" t="s">
        <v>2417</v>
      </c>
      <c r="F526" s="3" t="s">
        <v>105</v>
      </c>
      <c r="G526" s="3" t="s">
        <v>2902</v>
      </c>
      <c r="H526" s="3"/>
      <c r="I526" s="3" t="s">
        <v>2903</v>
      </c>
      <c r="J526" s="3">
        <v>314103900</v>
      </c>
      <c r="K526" s="3" t="s">
        <v>2904</v>
      </c>
      <c r="L526" t="s">
        <v>22</v>
      </c>
    </row>
    <row r="527" spans="1:12">
      <c r="A527" s="1" t="s">
        <v>2905</v>
      </c>
      <c r="B527" s="2" t="str">
        <f>HYPERLINK("https://docket.philalegal.org/cgi-bin/proxy.pl?ct=150600785","150600785")</f>
        <v>150600785</v>
      </c>
      <c r="C527" s="3" t="s">
        <v>2906</v>
      </c>
      <c r="D527" s="3" t="s">
        <v>15</v>
      </c>
      <c r="E527" s="3" t="s">
        <v>2417</v>
      </c>
      <c r="F527" s="3" t="s">
        <v>17</v>
      </c>
      <c r="G527" s="3" t="s">
        <v>2907</v>
      </c>
      <c r="H527" s="3"/>
      <c r="I527" s="3" t="s">
        <v>2908</v>
      </c>
      <c r="J527" s="3">
        <v>301135200</v>
      </c>
      <c r="K527" s="3" t="s">
        <v>2909</v>
      </c>
      <c r="L527" t="s">
        <v>22</v>
      </c>
    </row>
    <row r="528" spans="1:12">
      <c r="A528" s="1" t="s">
        <v>2910</v>
      </c>
      <c r="B528" s="2" t="str">
        <f>HYPERLINK("https://docket.philalegal.org/cgi-bin/proxy.pl?ct=150600740","150600740")</f>
        <v>150600740</v>
      </c>
      <c r="C528" s="3" t="s">
        <v>2911</v>
      </c>
      <c r="D528" s="3" t="s">
        <v>26</v>
      </c>
      <c r="E528" s="3" t="s">
        <v>2417</v>
      </c>
      <c r="F528" s="3" t="s">
        <v>17</v>
      </c>
      <c r="G528" s="3" t="s">
        <v>2912</v>
      </c>
      <c r="H528" s="3" t="s">
        <v>803</v>
      </c>
      <c r="I528" s="3" t="s">
        <v>2913</v>
      </c>
      <c r="J528" s="3">
        <v>365400500</v>
      </c>
      <c r="K528" s="3" t="s">
        <v>2914</v>
      </c>
      <c r="L528" t="s">
        <v>22</v>
      </c>
    </row>
    <row r="529" spans="1:12">
      <c r="A529" s="1" t="s">
        <v>2915</v>
      </c>
      <c r="B529" s="2" t="str">
        <f>HYPERLINK("https://docket.philalegal.org/cgi-bin/proxy.pl?ct=161200232","161200232")</f>
        <v>161200232</v>
      </c>
      <c r="C529" s="3" t="s">
        <v>2916</v>
      </c>
      <c r="D529" s="3" t="s">
        <v>2917</v>
      </c>
      <c r="E529" s="3" t="s">
        <v>2417</v>
      </c>
      <c r="F529" s="3" t="s">
        <v>2918</v>
      </c>
      <c r="G529" s="3" t="s">
        <v>2919</v>
      </c>
      <c r="H529" s="3" t="s">
        <v>2920</v>
      </c>
      <c r="I529" s="3" t="s">
        <v>2921</v>
      </c>
      <c r="J529" s="3">
        <v>884351737</v>
      </c>
      <c r="K529" s="3" t="s">
        <v>2922</v>
      </c>
      <c r="L529" t="s">
        <v>22</v>
      </c>
    </row>
    <row r="530" spans="1:12">
      <c r="A530" s="1" t="s">
        <v>2923</v>
      </c>
      <c r="B530" s="2" t="str">
        <f>HYPERLINK("https://docket.philalegal.org/cgi-bin/proxy.pl?ct=160200441","160200441")</f>
        <v>160200441</v>
      </c>
      <c r="C530" s="3" t="s">
        <v>2924</v>
      </c>
      <c r="D530" s="3" t="s">
        <v>26</v>
      </c>
      <c r="E530" s="3" t="s">
        <v>2417</v>
      </c>
      <c r="F530" s="3" t="s">
        <v>105</v>
      </c>
      <c r="G530" s="3" t="s">
        <v>2925</v>
      </c>
      <c r="H530" s="3" t="s">
        <v>2926</v>
      </c>
      <c r="I530" s="3" t="s">
        <v>2927</v>
      </c>
      <c r="J530" s="3">
        <v>871502290</v>
      </c>
      <c r="K530" s="3" t="s">
        <v>2489</v>
      </c>
      <c r="L530" t="s">
        <v>2928</v>
      </c>
    </row>
    <row r="531" spans="1:12">
      <c r="A531" s="1" t="s">
        <v>2929</v>
      </c>
      <c r="B531" s="2" t="str">
        <f>HYPERLINK("https://docket.philalegal.org/cgi-bin/proxy.pl?ct=200102588","200102588")</f>
        <v>200102588</v>
      </c>
      <c r="C531" s="3" t="s">
        <v>2930</v>
      </c>
      <c r="D531" s="3" t="s">
        <v>96</v>
      </c>
      <c r="E531" s="3" t="s">
        <v>2417</v>
      </c>
      <c r="F531" s="3" t="s">
        <v>89</v>
      </c>
      <c r="G531" s="3" t="s">
        <v>2931</v>
      </c>
      <c r="H531" s="3"/>
      <c r="I531" s="3" t="s">
        <v>2932</v>
      </c>
      <c r="J531" s="3">
        <v>412444700</v>
      </c>
      <c r="K531" s="3" t="s">
        <v>2933</v>
      </c>
      <c r="L531" t="s">
        <v>2248</v>
      </c>
    </row>
    <row r="532" spans="1:12">
      <c r="A532" s="1" t="s">
        <v>2934</v>
      </c>
      <c r="B532" s="2" t="str">
        <f>HYPERLINK("https://docket.philalegal.org/cgi-bin/proxy.pl?ct=160400505","160400505")</f>
        <v>160400505</v>
      </c>
      <c r="C532" s="3" t="s">
        <v>2935</v>
      </c>
      <c r="D532" s="3" t="s">
        <v>26</v>
      </c>
      <c r="E532" s="3" t="s">
        <v>2417</v>
      </c>
      <c r="F532" s="3" t="s">
        <v>105</v>
      </c>
      <c r="G532" s="3" t="s">
        <v>2936</v>
      </c>
      <c r="H532" s="3"/>
      <c r="I532" s="3" t="s">
        <v>2391</v>
      </c>
      <c r="J532" s="3">
        <v>871167500</v>
      </c>
      <c r="K532" s="3" t="s">
        <v>2937</v>
      </c>
      <c r="L532" t="s">
        <v>22</v>
      </c>
    </row>
    <row r="533" spans="1:12">
      <c r="A533" s="1" t="s">
        <v>2938</v>
      </c>
      <c r="B533" s="2" t="str">
        <f>HYPERLINK("https://docket.philalegal.org/cgi-bin/proxy.pl?ct=150201970","150201970")</f>
        <v>150201970</v>
      </c>
      <c r="C533" s="3" t="s">
        <v>2939</v>
      </c>
      <c r="D533" s="3" t="s">
        <v>96</v>
      </c>
      <c r="E533" s="3" t="s">
        <v>2417</v>
      </c>
      <c r="F533" s="3" t="s">
        <v>17</v>
      </c>
      <c r="G533" s="3" t="s">
        <v>2940</v>
      </c>
      <c r="H533" s="3" t="s">
        <v>803</v>
      </c>
      <c r="I533" s="3" t="s">
        <v>2941</v>
      </c>
      <c r="J533" s="3">
        <v>365303400</v>
      </c>
      <c r="K533" s="3" t="s">
        <v>2942</v>
      </c>
      <c r="L533" t="s">
        <v>2248</v>
      </c>
    </row>
    <row r="534" spans="1:12">
      <c r="A534" s="1" t="s">
        <v>2840</v>
      </c>
      <c r="B534" s="2" t="str">
        <f>HYPERLINK("https://docket.philalegal.org/cgi-bin/proxy.pl?ct=170801534","170801534")</f>
        <v>170801534</v>
      </c>
      <c r="C534" s="3" t="s">
        <v>2943</v>
      </c>
      <c r="D534" s="3" t="s">
        <v>96</v>
      </c>
      <c r="E534" s="3" t="s">
        <v>2417</v>
      </c>
      <c r="F534" s="3" t="s">
        <v>166</v>
      </c>
      <c r="G534" s="3" t="s">
        <v>2944</v>
      </c>
      <c r="H534" s="3" t="s">
        <v>2945</v>
      </c>
      <c r="I534" s="3" t="s">
        <v>2227</v>
      </c>
      <c r="J534" s="3">
        <v>241190000</v>
      </c>
      <c r="K534" s="3" t="s">
        <v>2946</v>
      </c>
      <c r="L534" t="s">
        <v>22</v>
      </c>
    </row>
    <row r="535" spans="1:12">
      <c r="A535" s="1" t="s">
        <v>2947</v>
      </c>
      <c r="B535" s="2" t="str">
        <f>HYPERLINK("https://docket.philalegal.org/cgi-bin/proxy.pl?ct=150403084","150403084")</f>
        <v>150403084</v>
      </c>
      <c r="C535" s="3" t="s">
        <v>2948</v>
      </c>
      <c r="D535" s="3" t="s">
        <v>96</v>
      </c>
      <c r="E535" s="3" t="s">
        <v>2417</v>
      </c>
      <c r="F535" s="3" t="s">
        <v>17</v>
      </c>
      <c r="G535" s="3" t="s">
        <v>2504</v>
      </c>
      <c r="H535" s="3"/>
      <c r="I535" s="3" t="s">
        <v>2505</v>
      </c>
      <c r="J535" s="3">
        <v>365200500</v>
      </c>
      <c r="K535" s="3" t="s">
        <v>2949</v>
      </c>
      <c r="L535" t="s">
        <v>195</v>
      </c>
    </row>
    <row r="536" spans="1:12">
      <c r="A536" s="1" t="s">
        <v>2950</v>
      </c>
      <c r="B536" s="2" t="str">
        <f>HYPERLINK("https://docket.philalegal.org/cgi-bin/proxy.pl?ct=150603835","150603835")</f>
        <v>150603835</v>
      </c>
      <c r="C536" s="3" t="s">
        <v>2948</v>
      </c>
      <c r="D536" s="3" t="s">
        <v>96</v>
      </c>
      <c r="E536" s="3" t="s">
        <v>2417</v>
      </c>
      <c r="F536" s="3" t="s">
        <v>17</v>
      </c>
      <c r="G536" s="3" t="s">
        <v>2951</v>
      </c>
      <c r="H536" s="3"/>
      <c r="I536" s="3" t="s">
        <v>2505</v>
      </c>
      <c r="J536" s="3">
        <v>365200500</v>
      </c>
      <c r="K536" s="3" t="s">
        <v>2952</v>
      </c>
      <c r="L536" t="s">
        <v>195</v>
      </c>
    </row>
    <row r="537" spans="1:12">
      <c r="A537" s="1" t="s">
        <v>2953</v>
      </c>
      <c r="B537" s="2" t="str">
        <f>HYPERLINK("https://docket.philalegal.org/cgi-bin/proxy.pl?ct=160703134","160703134")</f>
        <v>160703134</v>
      </c>
      <c r="C537" s="3" t="s">
        <v>2954</v>
      </c>
      <c r="D537" s="3" t="s">
        <v>26</v>
      </c>
      <c r="E537" s="3" t="s">
        <v>2417</v>
      </c>
      <c r="F537" s="3" t="s">
        <v>105</v>
      </c>
      <c r="G537" s="3" t="s">
        <v>2955</v>
      </c>
      <c r="H537" s="3"/>
      <c r="I537" s="3" t="s">
        <v>2956</v>
      </c>
      <c r="J537" s="3">
        <v>231043400</v>
      </c>
      <c r="K537" s="3" t="s">
        <v>2957</v>
      </c>
      <c r="L537" t="s">
        <v>22</v>
      </c>
    </row>
    <row r="538" spans="1:12">
      <c r="A538" s="1" t="s">
        <v>2958</v>
      </c>
      <c r="B538" s="2" t="str">
        <f>HYPERLINK("https://docket.philalegal.org/cgi-bin/proxy.pl?ct=160401069","160401069")</f>
        <v>160401069</v>
      </c>
      <c r="C538" s="3" t="s">
        <v>2959</v>
      </c>
      <c r="D538" s="3" t="s">
        <v>96</v>
      </c>
      <c r="E538" s="3" t="s">
        <v>2417</v>
      </c>
      <c r="F538" s="3" t="s">
        <v>105</v>
      </c>
      <c r="G538" s="3" t="s">
        <v>2960</v>
      </c>
      <c r="H538" s="3" t="s">
        <v>2961</v>
      </c>
      <c r="I538" s="3" t="s">
        <v>2962</v>
      </c>
      <c r="J538" s="3">
        <v>365187500</v>
      </c>
      <c r="K538" s="3" t="s">
        <v>2963</v>
      </c>
      <c r="L538" t="s">
        <v>203</v>
      </c>
    </row>
    <row r="539" spans="1:12">
      <c r="A539" s="1" t="s">
        <v>2964</v>
      </c>
      <c r="B539" s="2" t="str">
        <f>HYPERLINK("https://docket.philalegal.org/cgi-bin/proxy.pl?ct=190900051","190900051")</f>
        <v>190900051</v>
      </c>
      <c r="C539" s="3" t="s">
        <v>2965</v>
      </c>
      <c r="D539" s="3" t="s">
        <v>96</v>
      </c>
      <c r="E539" s="3" t="s">
        <v>2966</v>
      </c>
      <c r="F539" s="3" t="s">
        <v>17</v>
      </c>
      <c r="G539" s="3" t="s">
        <v>2967</v>
      </c>
      <c r="H539" s="3" t="s">
        <v>2968</v>
      </c>
      <c r="I539" s="3" t="s">
        <v>2969</v>
      </c>
      <c r="J539" s="3" t="s">
        <v>2970</v>
      </c>
      <c r="K539" s="3" t="s">
        <v>2971</v>
      </c>
      <c r="L539" t="s">
        <v>195</v>
      </c>
    </row>
    <row r="540" spans="1:12">
      <c r="A540" s="1" t="s">
        <v>2972</v>
      </c>
      <c r="B540" s="2" t="str">
        <f>HYPERLINK("https://docket.philalegal.org/cgi-bin/proxy.pl?ct=180802722","180802722")</f>
        <v>180802722</v>
      </c>
      <c r="C540" s="3" t="s">
        <v>2973</v>
      </c>
      <c r="D540" s="3" t="s">
        <v>96</v>
      </c>
      <c r="E540" s="3" t="s">
        <v>2974</v>
      </c>
      <c r="F540" s="3" t="s">
        <v>810</v>
      </c>
      <c r="G540" s="3" t="s">
        <v>2975</v>
      </c>
      <c r="H540" s="3" t="s">
        <v>2976</v>
      </c>
      <c r="I540" s="3" t="s">
        <v>2977</v>
      </c>
      <c r="J540" s="3">
        <v>302150300</v>
      </c>
      <c r="K540" s="3" t="s">
        <v>2978</v>
      </c>
      <c r="L540" t="s">
        <v>2248</v>
      </c>
    </row>
    <row r="541" spans="1:12">
      <c r="A541" s="1" t="s">
        <v>2979</v>
      </c>
      <c r="B541" s="2" t="str">
        <f>HYPERLINK("https://docket.philalegal.org/cgi-bin/proxy.pl?ct=190101919","190101919")</f>
        <v>190101919</v>
      </c>
      <c r="C541" s="3" t="s">
        <v>2980</v>
      </c>
      <c r="D541" s="3" t="s">
        <v>96</v>
      </c>
      <c r="E541" s="3" t="s">
        <v>2981</v>
      </c>
      <c r="F541" s="3" t="s">
        <v>17</v>
      </c>
      <c r="G541" s="3" t="s">
        <v>2982</v>
      </c>
      <c r="H541" s="3"/>
      <c r="I541" s="3" t="s">
        <v>2983</v>
      </c>
      <c r="J541" s="3">
        <v>431011300</v>
      </c>
      <c r="K541" s="3" t="s">
        <v>2984</v>
      </c>
      <c r="L541" t="s">
        <v>195</v>
      </c>
    </row>
    <row r="542" spans="1:12">
      <c r="A542" s="1" t="s">
        <v>2985</v>
      </c>
      <c r="B542" s="2" t="str">
        <f>HYPERLINK("https://docket.philalegal.org/cgi-bin/proxy.pl?ct=190400654","190400654")</f>
        <v>190400654</v>
      </c>
      <c r="C542" s="3" t="s">
        <v>2986</v>
      </c>
      <c r="D542" s="3" t="s">
        <v>96</v>
      </c>
      <c r="E542" s="3" t="s">
        <v>2981</v>
      </c>
      <c r="F542" s="3" t="s">
        <v>17</v>
      </c>
      <c r="G542" s="3" t="s">
        <v>2982</v>
      </c>
      <c r="H542" s="3"/>
      <c r="I542" s="3" t="s">
        <v>2983</v>
      </c>
      <c r="J542" s="3">
        <v>431011300</v>
      </c>
      <c r="K542" s="3" t="s">
        <v>2987</v>
      </c>
      <c r="L542" t="s">
        <v>2988</v>
      </c>
    </row>
    <row r="543" spans="1:12">
      <c r="A543" s="1" t="s">
        <v>2989</v>
      </c>
      <c r="B543" s="2" t="str">
        <f>HYPERLINK("https://docket.philalegal.org/cgi-bin/proxy.pl?ct=171100278","171100278")</f>
        <v>171100278</v>
      </c>
      <c r="C543" s="3" t="s">
        <v>2990</v>
      </c>
      <c r="D543" s="3" t="s">
        <v>96</v>
      </c>
      <c r="E543" s="3" t="s">
        <v>2991</v>
      </c>
      <c r="F543" s="3" t="s">
        <v>166</v>
      </c>
      <c r="G543" s="3" t="s">
        <v>2992</v>
      </c>
      <c r="H543" s="3" t="s">
        <v>396</v>
      </c>
      <c r="I543" s="3" t="s">
        <v>2993</v>
      </c>
      <c r="J543" s="3">
        <v>251345110</v>
      </c>
      <c r="K543" s="3" t="s">
        <v>2994</v>
      </c>
      <c r="L543" t="s">
        <v>2255</v>
      </c>
    </row>
    <row r="544" spans="1:12">
      <c r="A544" s="1" t="s">
        <v>2995</v>
      </c>
      <c r="B544" s="2" t="str">
        <f>HYPERLINK("https://docket.philalegal.org/cgi-bin/proxy.pl?ct=171102363","171102363")</f>
        <v>171102363</v>
      </c>
      <c r="C544" s="3" t="s">
        <v>2996</v>
      </c>
      <c r="D544" s="3" t="s">
        <v>15</v>
      </c>
      <c r="E544" s="3" t="s">
        <v>2991</v>
      </c>
      <c r="F544" s="3" t="s">
        <v>105</v>
      </c>
      <c r="G544" s="3" t="s">
        <v>2997</v>
      </c>
      <c r="H544" s="3"/>
      <c r="I544" s="3" t="s">
        <v>2998</v>
      </c>
      <c r="J544" s="3">
        <v>462084100</v>
      </c>
      <c r="K544" s="3" t="s">
        <v>2999</v>
      </c>
      <c r="L544" t="s">
        <v>22</v>
      </c>
    </row>
    <row r="545" spans="1:12">
      <c r="A545" s="1" t="s">
        <v>3000</v>
      </c>
      <c r="B545" s="2" t="str">
        <f>HYPERLINK("https://docket.philalegal.org/cgi-bin/proxy.pl?ct=180501271","180501271")</f>
        <v>180501271</v>
      </c>
      <c r="C545" s="3" t="s">
        <v>3001</v>
      </c>
      <c r="D545" s="3" t="s">
        <v>96</v>
      </c>
      <c r="E545" s="3" t="s">
        <v>2991</v>
      </c>
      <c r="F545" s="3" t="s">
        <v>105</v>
      </c>
      <c r="G545" s="3" t="s">
        <v>3002</v>
      </c>
      <c r="H545" s="3" t="s">
        <v>225</v>
      </c>
      <c r="I545" s="3" t="s">
        <v>3003</v>
      </c>
      <c r="J545" s="3">
        <v>871542650</v>
      </c>
      <c r="K545" s="3" t="s">
        <v>3004</v>
      </c>
      <c r="L545" t="s">
        <v>3005</v>
      </c>
    </row>
    <row r="546" spans="1:12">
      <c r="A546" s="1" t="s">
        <v>3006</v>
      </c>
      <c r="B546" s="2" t="str">
        <f>HYPERLINK("https://docket.philalegal.org/cgi-bin/proxy.pl?ct=170902690","170902690")</f>
        <v>170902690</v>
      </c>
      <c r="C546" s="3" t="s">
        <v>3007</v>
      </c>
      <c r="D546" s="3" t="s">
        <v>180</v>
      </c>
      <c r="E546" s="3" t="s">
        <v>2991</v>
      </c>
      <c r="F546" s="3" t="s">
        <v>3008</v>
      </c>
      <c r="G546" s="3" t="s">
        <v>3009</v>
      </c>
      <c r="H546" s="3" t="s">
        <v>3010</v>
      </c>
      <c r="I546" s="3" t="s">
        <v>3011</v>
      </c>
      <c r="J546" s="3" t="s">
        <v>3012</v>
      </c>
      <c r="K546" s="3" t="s">
        <v>3013</v>
      </c>
      <c r="L546" t="s">
        <v>22</v>
      </c>
    </row>
    <row r="547" spans="1:12">
      <c r="A547" s="1" t="s">
        <v>3014</v>
      </c>
      <c r="B547" s="2" t="str">
        <f>HYPERLINK("https://docket.philalegal.org/cgi-bin/proxy.pl?ct=220700530","220700530")</f>
        <v>220700530</v>
      </c>
      <c r="C547" s="3" t="s">
        <v>3015</v>
      </c>
      <c r="D547" s="3" t="s">
        <v>49</v>
      </c>
      <c r="E547" s="3" t="s">
        <v>3016</v>
      </c>
      <c r="F547" s="3" t="s">
        <v>17</v>
      </c>
      <c r="G547" s="3" t="s">
        <v>3017</v>
      </c>
      <c r="H547" s="3" t="s">
        <v>3018</v>
      </c>
      <c r="I547" s="3" t="s">
        <v>3019</v>
      </c>
      <c r="J547" s="3">
        <v>282237800</v>
      </c>
      <c r="K547" s="3" t="s">
        <v>3020</v>
      </c>
      <c r="L547" t="s">
        <v>3021</v>
      </c>
    </row>
    <row r="548" spans="1:12">
      <c r="A548" s="1" t="s">
        <v>3022</v>
      </c>
      <c r="B548" s="2" t="str">
        <f>HYPERLINK("https://docket.philalegal.org/cgi-bin/proxy.pl?ct=160400321","160400321")</f>
        <v>160400321</v>
      </c>
      <c r="C548" s="3" t="s">
        <v>3023</v>
      </c>
      <c r="D548" s="3" t="s">
        <v>96</v>
      </c>
      <c r="E548" s="3" t="s">
        <v>3016</v>
      </c>
      <c r="F548" s="3" t="s">
        <v>166</v>
      </c>
      <c r="G548" s="3" t="s">
        <v>3024</v>
      </c>
      <c r="H548" s="3"/>
      <c r="I548" s="3" t="s">
        <v>3025</v>
      </c>
      <c r="J548" s="3">
        <v>292202400</v>
      </c>
      <c r="K548" s="3" t="s">
        <v>3026</v>
      </c>
      <c r="L548" t="s">
        <v>2248</v>
      </c>
    </row>
    <row r="549" spans="1:12">
      <c r="A549" s="1" t="s">
        <v>3027</v>
      </c>
      <c r="B549" s="2" t="str">
        <f>HYPERLINK("https://docket.philalegal.org/cgi-bin/proxy.pl?ct=221200109","221200109")</f>
        <v>221200109</v>
      </c>
      <c r="C549" s="3" t="s">
        <v>3028</v>
      </c>
      <c r="D549" s="3" t="s">
        <v>61</v>
      </c>
      <c r="E549" s="3" t="s">
        <v>3029</v>
      </c>
      <c r="F549" s="3" t="s">
        <v>17</v>
      </c>
      <c r="G549" s="3" t="s">
        <v>3030</v>
      </c>
      <c r="H549" s="3"/>
      <c r="I549" s="3" t="s">
        <v>3031</v>
      </c>
      <c r="J549" s="3">
        <v>604190100</v>
      </c>
      <c r="K549" s="3" t="s">
        <v>3032</v>
      </c>
      <c r="L549" t="s">
        <v>46</v>
      </c>
    </row>
    <row r="550" spans="1:12">
      <c r="A550" s="1" t="s">
        <v>3033</v>
      </c>
      <c r="B550" s="2" t="str">
        <f>HYPERLINK("https://docket.philalegal.org/cgi-bin/proxy.pl?ct=211100769","211100769")</f>
        <v>211100769</v>
      </c>
      <c r="C550" s="3" t="s">
        <v>3034</v>
      </c>
      <c r="D550" s="3" t="s">
        <v>49</v>
      </c>
      <c r="E550" s="3" t="s">
        <v>3035</v>
      </c>
      <c r="F550" s="3" t="s">
        <v>253</v>
      </c>
      <c r="G550" s="3" t="s">
        <v>3036</v>
      </c>
      <c r="H550" s="3" t="s">
        <v>1529</v>
      </c>
      <c r="I550" s="3" t="s">
        <v>3037</v>
      </c>
      <c r="J550" s="3">
        <v>463091500</v>
      </c>
      <c r="K550" s="3" t="s">
        <v>3038</v>
      </c>
      <c r="L550" s="6" t="s">
        <v>3039</v>
      </c>
    </row>
    <row r="551" spans="1:12">
      <c r="A551" s="1" t="s">
        <v>3040</v>
      </c>
      <c r="B551" s="2" t="str">
        <f>HYPERLINK("https://docket.philalegal.org/cgi-bin/proxy.pl?ct=220303039","220303039")</f>
        <v>220303039</v>
      </c>
      <c r="C551" s="3" t="s">
        <v>3041</v>
      </c>
      <c r="D551" s="3" t="s">
        <v>26</v>
      </c>
      <c r="E551" s="3" t="s">
        <v>3035</v>
      </c>
      <c r="F551" s="3" t="s">
        <v>253</v>
      </c>
      <c r="G551" s="3" t="s">
        <v>3042</v>
      </c>
      <c r="H551" s="3" t="s">
        <v>2869</v>
      </c>
      <c r="I551" s="3" t="s">
        <v>3043</v>
      </c>
      <c r="J551" s="3">
        <v>511094400</v>
      </c>
      <c r="K551" s="3" t="s">
        <v>3044</v>
      </c>
      <c r="L551" t="s">
        <v>22</v>
      </c>
    </row>
    <row r="552" spans="1:12">
      <c r="A552" s="1" t="s">
        <v>3045</v>
      </c>
      <c r="B552" s="2" t="str">
        <f>HYPERLINK("https://docket.philalegal.org/cgi-bin/proxy.pl?ct=140800884","140800884")</f>
        <v>140800884</v>
      </c>
      <c r="C552" s="3" t="s">
        <v>3046</v>
      </c>
      <c r="D552" s="3" t="s">
        <v>189</v>
      </c>
      <c r="E552" s="3" t="s">
        <v>3047</v>
      </c>
      <c r="F552" s="3" t="s">
        <v>17</v>
      </c>
      <c r="G552" s="3" t="s">
        <v>3048</v>
      </c>
      <c r="H552" s="3" t="s">
        <v>3049</v>
      </c>
      <c r="I552" s="3" t="s">
        <v>3050</v>
      </c>
      <c r="J552" s="3">
        <v>871233050</v>
      </c>
      <c r="K552" s="3" t="s">
        <v>189</v>
      </c>
      <c r="L552" t="s">
        <v>2248</v>
      </c>
    </row>
    <row r="553" spans="1:12">
      <c r="A553" s="1" t="s">
        <v>3051</v>
      </c>
      <c r="B553" s="2" t="str">
        <f>HYPERLINK("https://docket.philalegal.org/cgi-bin/proxy.pl?ct=160501523","160501523")</f>
        <v>160501523</v>
      </c>
      <c r="C553" s="3" t="s">
        <v>3052</v>
      </c>
      <c r="D553" s="3" t="s">
        <v>96</v>
      </c>
      <c r="E553" s="3" t="s">
        <v>3047</v>
      </c>
      <c r="F553" s="3" t="s">
        <v>3053</v>
      </c>
      <c r="G553" s="3" t="s">
        <v>3054</v>
      </c>
      <c r="H553" s="3" t="s">
        <v>3055</v>
      </c>
      <c r="I553" s="3" t="s">
        <v>3056</v>
      </c>
      <c r="J553" s="3">
        <v>871203050</v>
      </c>
      <c r="K553" s="3" t="s">
        <v>3057</v>
      </c>
      <c r="L553" t="s">
        <v>22</v>
      </c>
    </row>
    <row r="554" spans="1:12">
      <c r="A554" s="1" t="s">
        <v>3058</v>
      </c>
      <c r="B554" s="2" t="str">
        <f>HYPERLINK("https://docket.philalegal.org/cgi-bin/proxy.pl?ct=190403216","190403216")</f>
        <v>190403216</v>
      </c>
      <c r="C554" s="3" t="s">
        <v>3059</v>
      </c>
      <c r="D554" s="3" t="s">
        <v>26</v>
      </c>
      <c r="E554" s="3" t="s">
        <v>3060</v>
      </c>
      <c r="F554" s="3" t="s">
        <v>3061</v>
      </c>
      <c r="G554" s="3" t="s">
        <v>3062</v>
      </c>
      <c r="H554" s="3" t="s">
        <v>3063</v>
      </c>
      <c r="I554" s="3" t="s">
        <v>3064</v>
      </c>
      <c r="J554" s="3" t="s">
        <v>3065</v>
      </c>
      <c r="K554" s="3" t="s">
        <v>3066</v>
      </c>
      <c r="L554" t="s">
        <v>2255</v>
      </c>
    </row>
    <row r="555" spans="1:12">
      <c r="A555" s="1" t="s">
        <v>3067</v>
      </c>
      <c r="B555" s="2" t="str">
        <f>HYPERLINK("https://docket.philalegal.org/cgi-bin/proxy.pl?ct=141101306","141101306")</f>
        <v>141101306</v>
      </c>
      <c r="C555" s="3" t="s">
        <v>3068</v>
      </c>
      <c r="D555" s="3" t="s">
        <v>96</v>
      </c>
      <c r="E555" s="3" t="s">
        <v>3069</v>
      </c>
      <c r="F555" s="3" t="s">
        <v>17</v>
      </c>
      <c r="G555" s="3" t="s">
        <v>3070</v>
      </c>
      <c r="H555" s="3" t="s">
        <v>3071</v>
      </c>
      <c r="I555" s="3" t="s">
        <v>3072</v>
      </c>
      <c r="J555" s="3">
        <v>292201500</v>
      </c>
      <c r="K555" s="3" t="s">
        <v>3073</v>
      </c>
      <c r="L555" t="s">
        <v>437</v>
      </c>
    </row>
    <row r="556" spans="1:12">
      <c r="A556" s="1" t="s">
        <v>3074</v>
      </c>
      <c r="B556" s="2" t="str">
        <f>HYPERLINK("https://docket.philalegal.org/cgi-bin/proxy.pl?ct=150101087","150101087")</f>
        <v>150101087</v>
      </c>
      <c r="C556" s="3" t="s">
        <v>3068</v>
      </c>
      <c r="D556" s="3" t="s">
        <v>26</v>
      </c>
      <c r="E556" s="3" t="s">
        <v>3069</v>
      </c>
      <c r="F556" s="3" t="s">
        <v>17</v>
      </c>
      <c r="G556" s="3" t="s">
        <v>3070</v>
      </c>
      <c r="H556" s="3"/>
      <c r="I556" s="3" t="s">
        <v>3072</v>
      </c>
      <c r="J556" s="3">
        <v>292201500</v>
      </c>
      <c r="K556" s="3" t="s">
        <v>3075</v>
      </c>
      <c r="L556" t="s">
        <v>195</v>
      </c>
    </row>
    <row r="557" spans="1:12">
      <c r="A557" s="1" t="s">
        <v>3076</v>
      </c>
      <c r="B557" s="2" t="str">
        <f>HYPERLINK("https://docket.philalegal.org/cgi-bin/proxy.pl?ct=150703203","150703203")</f>
        <v>150703203</v>
      </c>
      <c r="C557" s="3" t="s">
        <v>3077</v>
      </c>
      <c r="D557" s="3" t="s">
        <v>2368</v>
      </c>
      <c r="E557" s="3" t="s">
        <v>3069</v>
      </c>
      <c r="F557" s="3" t="s">
        <v>17</v>
      </c>
      <c r="G557" s="3" t="s">
        <v>3078</v>
      </c>
      <c r="H557" s="3" t="s">
        <v>803</v>
      </c>
      <c r="I557" s="3" t="s">
        <v>3079</v>
      </c>
      <c r="J557" s="3">
        <v>292188700</v>
      </c>
      <c r="K557" s="3" t="s">
        <v>1212</v>
      </c>
      <c r="L557" t="s">
        <v>22</v>
      </c>
    </row>
    <row r="558" spans="1:12">
      <c r="A558" s="1" t="s">
        <v>3080</v>
      </c>
      <c r="B558" s="2" t="str">
        <f>HYPERLINK("https://docket.philalegal.org/cgi-bin/proxy.pl?ct=210202087","210202087")</f>
        <v>210202087</v>
      </c>
      <c r="C558" s="3" t="s">
        <v>3081</v>
      </c>
      <c r="D558" s="3" t="s">
        <v>96</v>
      </c>
      <c r="E558" s="3" t="s">
        <v>3082</v>
      </c>
      <c r="F558" s="3" t="s">
        <v>3083</v>
      </c>
      <c r="G558" s="3" t="s">
        <v>3084</v>
      </c>
      <c r="H558" s="3"/>
      <c r="I558" s="3" t="s">
        <v>3085</v>
      </c>
      <c r="J558" s="3">
        <v>412432300</v>
      </c>
      <c r="K558" s="3" t="s">
        <v>3086</v>
      </c>
      <c r="L558" t="s">
        <v>2248</v>
      </c>
    </row>
    <row r="559" spans="1:12">
      <c r="A559" s="1" t="s">
        <v>3087</v>
      </c>
      <c r="B559" s="2" t="str">
        <f>HYPERLINK("https://docket.philalegal.org/cgi-bin/proxy.pl?ct=120502238","120502238")</f>
        <v>120502238</v>
      </c>
      <c r="C559" s="3" t="s">
        <v>3088</v>
      </c>
      <c r="D559" s="3" t="s">
        <v>15</v>
      </c>
      <c r="E559" s="3" t="s">
        <v>3089</v>
      </c>
      <c r="F559" s="3" t="s">
        <v>3090</v>
      </c>
      <c r="G559" s="3" t="s">
        <v>3091</v>
      </c>
      <c r="H559" s="3"/>
      <c r="I559" s="3" t="s">
        <v>3092</v>
      </c>
      <c r="J559" s="3">
        <v>775182800</v>
      </c>
      <c r="K559" s="3" t="s">
        <v>3093</v>
      </c>
      <c r="L559" t="s">
        <v>2255</v>
      </c>
    </row>
    <row r="560" spans="1:12">
      <c r="A560" s="1" t="s">
        <v>3094</v>
      </c>
      <c r="B560" s="2" t="str">
        <f>HYPERLINK("https://docket.philalegal.org/cgi-bin/proxy.pl?ct=120400616","120400616")</f>
        <v>120400616</v>
      </c>
      <c r="C560" s="3" t="s">
        <v>3095</v>
      </c>
      <c r="D560" s="3" t="s">
        <v>96</v>
      </c>
      <c r="E560" s="3" t="s">
        <v>3096</v>
      </c>
      <c r="F560" s="3" t="s">
        <v>3097</v>
      </c>
      <c r="G560" s="3" t="s">
        <v>3098</v>
      </c>
      <c r="H560" s="3" t="s">
        <v>3099</v>
      </c>
      <c r="I560" s="3" t="s">
        <v>3100</v>
      </c>
      <c r="J560" s="3">
        <v>593066200</v>
      </c>
      <c r="K560" s="3" t="s">
        <v>3101</v>
      </c>
    </row>
    <row r="561" spans="1:12">
      <c r="A561" s="1" t="s">
        <v>3102</v>
      </c>
      <c r="B561" s="2" t="str">
        <f>HYPERLINK("https://docket.philalegal.org/cgi-bin/proxy.pl?ct=111101991","111101991")</f>
        <v>111101991</v>
      </c>
      <c r="C561" s="3" t="s">
        <v>3103</v>
      </c>
      <c r="D561" s="3" t="s">
        <v>189</v>
      </c>
      <c r="E561" s="3" t="s">
        <v>3096</v>
      </c>
      <c r="F561" s="3" t="s">
        <v>3104</v>
      </c>
      <c r="G561" s="3" t="s">
        <v>3105</v>
      </c>
      <c r="H561" s="3" t="s">
        <v>3099</v>
      </c>
      <c r="I561" s="3" t="s">
        <v>3100</v>
      </c>
      <c r="J561" s="3">
        <v>593066200</v>
      </c>
      <c r="K561" s="3" t="s">
        <v>3106</v>
      </c>
      <c r="L561" t="s">
        <v>203</v>
      </c>
    </row>
    <row r="562" spans="1:12">
      <c r="A562" s="1" t="s">
        <v>3107</v>
      </c>
      <c r="B562" s="2" t="str">
        <f>HYPERLINK("https://docket.philalegal.org/cgi-bin/proxy.pl?ct=190101361","190101361")</f>
        <v>190101361</v>
      </c>
      <c r="C562" s="3" t="s">
        <v>3108</v>
      </c>
      <c r="D562" s="3" t="s">
        <v>96</v>
      </c>
      <c r="E562" s="3" t="s">
        <v>3109</v>
      </c>
      <c r="F562" s="3" t="s">
        <v>1565</v>
      </c>
      <c r="G562" s="3" t="s">
        <v>3110</v>
      </c>
      <c r="H562" s="3"/>
      <c r="I562" s="3" t="s">
        <v>3111</v>
      </c>
      <c r="J562" s="3">
        <v>471115500</v>
      </c>
      <c r="K562" s="3" t="s">
        <v>3112</v>
      </c>
      <c r="L562" t="s">
        <v>195</v>
      </c>
    </row>
    <row r="563" spans="1:12">
      <c r="A563" s="1" t="s">
        <v>3113</v>
      </c>
      <c r="B563" s="2" t="str">
        <f>HYPERLINK("https://docket.philalegal.org/cgi-bin/proxy.pl?ct=190101404","190101404")</f>
        <v>190101404</v>
      </c>
      <c r="C563" s="3" t="s">
        <v>3114</v>
      </c>
      <c r="D563" s="3" t="s">
        <v>96</v>
      </c>
      <c r="E563" s="3" t="s">
        <v>3109</v>
      </c>
      <c r="F563" s="3" t="s">
        <v>1565</v>
      </c>
      <c r="G563" s="3" t="s">
        <v>3115</v>
      </c>
      <c r="H563" s="3"/>
      <c r="I563" s="3" t="s">
        <v>3116</v>
      </c>
      <c r="J563" s="3">
        <v>471115610</v>
      </c>
      <c r="K563" s="3" t="s">
        <v>3117</v>
      </c>
      <c r="L563" t="s">
        <v>3118</v>
      </c>
    </row>
    <row r="564" spans="1:12">
      <c r="A564" s="1" t="s">
        <v>3119</v>
      </c>
      <c r="B564" s="2" t="str">
        <f>HYPERLINK("https://docket.philalegal.org/cgi-bin/proxy.pl?ct=190101408","190101408")</f>
        <v>190101408</v>
      </c>
      <c r="C564" s="3" t="s">
        <v>3120</v>
      </c>
      <c r="D564" s="3" t="s">
        <v>96</v>
      </c>
      <c r="E564" s="3" t="s">
        <v>3109</v>
      </c>
      <c r="F564" s="3" t="s">
        <v>1565</v>
      </c>
      <c r="G564" s="3" t="s">
        <v>3121</v>
      </c>
      <c r="H564" s="3"/>
      <c r="I564" s="3" t="s">
        <v>3122</v>
      </c>
      <c r="J564" s="3">
        <v>471115700</v>
      </c>
      <c r="K564" s="3" t="s">
        <v>3123</v>
      </c>
      <c r="L564" t="s">
        <v>195</v>
      </c>
    </row>
    <row r="565" spans="1:12">
      <c r="A565" s="1" t="s">
        <v>3124</v>
      </c>
      <c r="B565" s="2" t="str">
        <f>HYPERLINK("https://docket.philalegal.org/cgi-bin/proxy.pl?ct=160903468","160903468")</f>
        <v>160903468</v>
      </c>
      <c r="C565" s="3" t="s">
        <v>3125</v>
      </c>
      <c r="D565" s="3" t="s">
        <v>96</v>
      </c>
      <c r="E565" s="3" t="s">
        <v>3126</v>
      </c>
      <c r="F565" s="3" t="s">
        <v>3127</v>
      </c>
      <c r="G565" s="3" t="s">
        <v>3128</v>
      </c>
      <c r="H565" s="3"/>
      <c r="I565" s="3" t="s">
        <v>3129</v>
      </c>
      <c r="J565" s="3" t="s">
        <v>3130</v>
      </c>
      <c r="K565" s="3" t="s">
        <v>3131</v>
      </c>
      <c r="L565" t="s">
        <v>2248</v>
      </c>
    </row>
    <row r="566" spans="1:12">
      <c r="A566" s="1" t="s">
        <v>3132</v>
      </c>
      <c r="B566" s="2" t="str">
        <f>HYPERLINK("https://docket.philalegal.org/cgi-bin/proxy.pl?ct=131202912","131202912")</f>
        <v>131202912</v>
      </c>
      <c r="C566" s="3" t="s">
        <v>3133</v>
      </c>
      <c r="D566" s="3" t="s">
        <v>26</v>
      </c>
      <c r="E566" s="3" t="s">
        <v>3134</v>
      </c>
      <c r="F566" s="3" t="s">
        <v>17</v>
      </c>
      <c r="G566" s="3" t="s">
        <v>3135</v>
      </c>
      <c r="H566" s="3"/>
      <c r="I566" s="3" t="s">
        <v>3136</v>
      </c>
      <c r="J566" s="3">
        <v>314119000</v>
      </c>
      <c r="K566" s="3" t="s">
        <v>3137</v>
      </c>
      <c r="L566" t="s">
        <v>22</v>
      </c>
    </row>
    <row r="567" spans="1:12">
      <c r="A567" s="1" t="s">
        <v>3138</v>
      </c>
      <c r="B567" s="2" t="str">
        <f>HYPERLINK("https://docket.philalegal.org/cgi-bin/proxy.pl?ct=131202811","131202811")</f>
        <v>131202811</v>
      </c>
      <c r="C567" s="3" t="s">
        <v>3139</v>
      </c>
      <c r="D567" s="3" t="s">
        <v>26</v>
      </c>
      <c r="E567" s="3" t="s">
        <v>3134</v>
      </c>
      <c r="F567" s="3" t="s">
        <v>17</v>
      </c>
      <c r="G567" s="3" t="s">
        <v>3140</v>
      </c>
      <c r="H567" s="3" t="s">
        <v>876</v>
      </c>
      <c r="I567" s="3" t="s">
        <v>3141</v>
      </c>
      <c r="J567" s="3">
        <v>314118900</v>
      </c>
      <c r="K567" s="3" t="s">
        <v>3137</v>
      </c>
      <c r="L567" t="s">
        <v>22</v>
      </c>
    </row>
    <row r="568" spans="1:12">
      <c r="A568" s="1" t="s">
        <v>3142</v>
      </c>
      <c r="B568" s="2" t="str">
        <f>HYPERLINK("https://docket.philalegal.org/cgi-bin/proxy.pl?ct=100700664","100700664")</f>
        <v>100700664</v>
      </c>
      <c r="C568" s="3" t="s">
        <v>3143</v>
      </c>
      <c r="D568" s="3" t="s">
        <v>26</v>
      </c>
      <c r="E568" s="3" t="s">
        <v>3144</v>
      </c>
      <c r="F568" s="3" t="s">
        <v>3145</v>
      </c>
      <c r="G568" s="3" t="s">
        <v>3146</v>
      </c>
      <c r="H568" s="3"/>
      <c r="I568" s="3" t="s">
        <v>3147</v>
      </c>
      <c r="J568" s="3">
        <v>442330000</v>
      </c>
      <c r="K568" s="3" t="s">
        <v>3148</v>
      </c>
      <c r="L568" t="s">
        <v>2248</v>
      </c>
    </row>
    <row r="569" spans="1:12">
      <c r="A569" s="1" t="s">
        <v>3149</v>
      </c>
      <c r="B569" s="2" t="str">
        <f>HYPERLINK("https://docket.philalegal.org/cgi-bin/proxy.pl?ct=100700720","100700720")</f>
        <v>100700720</v>
      </c>
      <c r="C569" s="3" t="s">
        <v>3143</v>
      </c>
      <c r="D569" s="3" t="s">
        <v>26</v>
      </c>
      <c r="E569" s="3" t="s">
        <v>3144</v>
      </c>
      <c r="F569" s="3" t="s">
        <v>3145</v>
      </c>
      <c r="G569" s="3" t="s">
        <v>3146</v>
      </c>
      <c r="H569" s="3"/>
      <c r="I569" s="3" t="s">
        <v>3150</v>
      </c>
      <c r="J569" s="3">
        <v>442352900</v>
      </c>
      <c r="K569" s="3" t="s">
        <v>3151</v>
      </c>
      <c r="L569" t="s">
        <v>2248</v>
      </c>
    </row>
    <row r="570" spans="1:12">
      <c r="A570" s="1" t="s">
        <v>3152</v>
      </c>
      <c r="B570" s="2" t="str">
        <f>HYPERLINK("https://docket.philalegal.org/cgi-bin/proxy.pl?ct=120203431","120203431")</f>
        <v>120203431</v>
      </c>
      <c r="C570" s="3" t="s">
        <v>3153</v>
      </c>
      <c r="D570" s="3" t="s">
        <v>26</v>
      </c>
      <c r="E570" s="3" t="s">
        <v>3144</v>
      </c>
      <c r="F570" s="3" t="s">
        <v>3154</v>
      </c>
      <c r="G570" s="3" t="s">
        <v>3155</v>
      </c>
      <c r="H570" s="3" t="s">
        <v>3156</v>
      </c>
      <c r="I570" s="3" t="s">
        <v>3157</v>
      </c>
      <c r="J570" s="3" t="s">
        <v>3158</v>
      </c>
      <c r="K570" s="3" t="s">
        <v>3159</v>
      </c>
      <c r="L570" t="s">
        <v>2248</v>
      </c>
    </row>
    <row r="571" spans="1:12">
      <c r="A571" s="1" t="s">
        <v>3160</v>
      </c>
      <c r="B571" s="2" t="str">
        <f>HYPERLINK("https://docket.philalegal.org/cgi-bin/proxy.pl?ct=180600511","180600511")</f>
        <v>180600511</v>
      </c>
      <c r="C571" s="3" t="s">
        <v>3161</v>
      </c>
      <c r="D571" s="3" t="s">
        <v>96</v>
      </c>
      <c r="E571" s="3" t="s">
        <v>3162</v>
      </c>
      <c r="F571" s="3" t="s">
        <v>105</v>
      </c>
      <c r="G571" s="3" t="s">
        <v>3163</v>
      </c>
      <c r="H571" s="3"/>
      <c r="I571" s="3" t="s">
        <v>3164</v>
      </c>
      <c r="J571" s="3">
        <v>151376800</v>
      </c>
      <c r="K571" s="3" t="s">
        <v>3165</v>
      </c>
      <c r="L571" s="6" t="s">
        <v>195</v>
      </c>
    </row>
    <row r="572" spans="1:12">
      <c r="A572" s="1" t="s">
        <v>3166</v>
      </c>
      <c r="B572" s="2" t="str">
        <f>HYPERLINK("https://docket.philalegal.org/cgi-bin/proxy.pl?ct=120802960","120802960")</f>
        <v>120802960</v>
      </c>
      <c r="C572" s="3" t="s">
        <v>3167</v>
      </c>
      <c r="D572" s="3" t="s">
        <v>15</v>
      </c>
      <c r="E572" s="3" t="s">
        <v>3168</v>
      </c>
      <c r="F572" s="3" t="s">
        <v>17</v>
      </c>
      <c r="G572" s="3" t="s">
        <v>3169</v>
      </c>
      <c r="H572" s="3"/>
      <c r="I572" s="3" t="s">
        <v>3164</v>
      </c>
      <c r="J572" s="3">
        <v>151376800</v>
      </c>
      <c r="K572" s="3" t="s">
        <v>3170</v>
      </c>
      <c r="L572" s="6" t="s">
        <v>22</v>
      </c>
    </row>
    <row r="573" spans="1:12">
      <c r="A573" s="1" t="s">
        <v>3171</v>
      </c>
      <c r="B573" s="2" t="str">
        <f>HYPERLINK("https://docket.philalegal.org/cgi-bin/proxy.pl?ct=160504133","160504133")</f>
        <v>160504133</v>
      </c>
      <c r="C573" s="3" t="s">
        <v>3172</v>
      </c>
      <c r="D573" s="3" t="s">
        <v>96</v>
      </c>
      <c r="E573" s="3" t="s">
        <v>3173</v>
      </c>
      <c r="F573" s="3" t="s">
        <v>3174</v>
      </c>
      <c r="G573" s="3" t="s">
        <v>3175</v>
      </c>
      <c r="H573" s="3" t="s">
        <v>3176</v>
      </c>
      <c r="I573" s="3" t="s">
        <v>3177</v>
      </c>
      <c r="J573" s="3">
        <v>883309000</v>
      </c>
      <c r="K573" s="3" t="s">
        <v>3178</v>
      </c>
      <c r="L573" t="s">
        <v>3179</v>
      </c>
    </row>
    <row r="574" spans="1:12">
      <c r="A574" s="1" t="s">
        <v>3180</v>
      </c>
      <c r="B574" s="2" t="str">
        <f>HYPERLINK("https://docket.philalegal.org/cgi-bin/proxy.pl?ct=170901352","170901352")</f>
        <v>170901352</v>
      </c>
      <c r="C574" s="3" t="s">
        <v>3181</v>
      </c>
      <c r="D574" s="3" t="s">
        <v>96</v>
      </c>
      <c r="E574" s="3" t="s">
        <v>3182</v>
      </c>
      <c r="F574" s="3" t="s">
        <v>166</v>
      </c>
      <c r="G574" s="3" t="s">
        <v>3183</v>
      </c>
      <c r="H574" s="3" t="s">
        <v>3184</v>
      </c>
      <c r="I574" s="3" t="s">
        <v>3185</v>
      </c>
      <c r="J574" s="3">
        <v>776064000</v>
      </c>
      <c r="K574" s="3" t="s">
        <v>3186</v>
      </c>
      <c r="L574" t="s">
        <v>3005</v>
      </c>
    </row>
    <row r="575" spans="1:12">
      <c r="A575" s="1" t="s">
        <v>3187</v>
      </c>
      <c r="B575" s="2" t="str">
        <f>HYPERLINK("https://docket.philalegal.org/cgi-bin/proxy.pl?ct=221102551","221102551")</f>
        <v>221102551</v>
      </c>
      <c r="C575" s="3" t="s">
        <v>3188</v>
      </c>
      <c r="D575" s="3" t="s">
        <v>49</v>
      </c>
      <c r="E575" s="3" t="s">
        <v>3189</v>
      </c>
      <c r="F575" s="3" t="s">
        <v>17</v>
      </c>
      <c r="G575" s="3" t="s">
        <v>3190</v>
      </c>
      <c r="H575" s="3"/>
      <c r="I575" s="3" t="s">
        <v>3191</v>
      </c>
      <c r="J575" s="3">
        <v>363173100</v>
      </c>
      <c r="K575" s="3" t="s">
        <v>3192</v>
      </c>
      <c r="L575" t="s">
        <v>46</v>
      </c>
    </row>
    <row r="576" spans="1:12">
      <c r="A576" s="1" t="s">
        <v>3193</v>
      </c>
      <c r="B576" s="2" t="str">
        <f>HYPERLINK("https://docket.philalegal.org/cgi-bin/proxy.pl?ct=140801456","140801456")</f>
        <v>140801456</v>
      </c>
      <c r="C576" s="3" t="s">
        <v>3194</v>
      </c>
      <c r="D576" s="3" t="s">
        <v>96</v>
      </c>
      <c r="E576" s="3" t="s">
        <v>3195</v>
      </c>
      <c r="F576" s="3" t="s">
        <v>17</v>
      </c>
      <c r="G576" s="3" t="s">
        <v>3196</v>
      </c>
      <c r="H576" s="3" t="s">
        <v>3197</v>
      </c>
      <c r="I576" s="3" t="s">
        <v>3198</v>
      </c>
      <c r="J576" s="3">
        <v>871105450</v>
      </c>
      <c r="K576" s="3" t="s">
        <v>3199</v>
      </c>
      <c r="L576" s="6" t="s">
        <v>203</v>
      </c>
    </row>
    <row r="577" spans="1:12">
      <c r="A577" s="1" t="s">
        <v>3200</v>
      </c>
      <c r="B577" s="2" t="str">
        <f>HYPERLINK("https://docket.philalegal.org/cgi-bin/proxy.pl?ct=180104225","180104225")</f>
        <v>180104225</v>
      </c>
      <c r="C577" s="3" t="s">
        <v>3201</v>
      </c>
      <c r="D577" s="3" t="s">
        <v>49</v>
      </c>
      <c r="E577" s="3" t="s">
        <v>3202</v>
      </c>
      <c r="F577" s="3" t="s">
        <v>3203</v>
      </c>
      <c r="G577" s="3" t="s">
        <v>868</v>
      </c>
      <c r="H577" s="3" t="s">
        <v>3204</v>
      </c>
      <c r="I577" s="3" t="s">
        <v>3205</v>
      </c>
      <c r="J577" s="3">
        <v>871514390</v>
      </c>
      <c r="K577" s="3" t="s">
        <v>3206</v>
      </c>
      <c r="L577" t="s">
        <v>1464</v>
      </c>
    </row>
    <row r="578" spans="1:12">
      <c r="A578" s="1" t="s">
        <v>3207</v>
      </c>
      <c r="B578" s="2" t="str">
        <f>HYPERLINK("https://docket.philalegal.org/cgi-bin/proxy.pl?ct=151001855","151001855")</f>
        <v>151001855</v>
      </c>
      <c r="C578" s="3" t="s">
        <v>3208</v>
      </c>
      <c r="D578" s="3" t="s">
        <v>96</v>
      </c>
      <c r="E578" s="3" t="s">
        <v>3209</v>
      </c>
      <c r="F578" s="3" t="s">
        <v>1088</v>
      </c>
      <c r="G578" s="3" t="s">
        <v>3210</v>
      </c>
      <c r="H578" s="3" t="s">
        <v>3211</v>
      </c>
      <c r="I578" s="3" t="s">
        <v>3212</v>
      </c>
      <c r="J578" s="3">
        <v>182213700</v>
      </c>
      <c r="K578" s="3" t="s">
        <v>3213</v>
      </c>
      <c r="L578" t="s">
        <v>2248</v>
      </c>
    </row>
  </sheetData>
  <pageMargins left="0.7" right="0.7" top="0.75" bottom="0.75" header="0.3" footer="0.3"/>
  <pageSetup fitToHeight="0" orientation="landscape"/>
  <headerFooter>
    <oddFooter>&amp;L&amp;D&amp;RPage &amp;P of &amp;N</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2023-01-24T16:16:54Z</dcterms:created>
  <dcterms:modified xsi:type="dcterms:W3CDTF">2023-08-23T19:14:34Z</dcterms:modified>
  <cp:category/>
  <cp:contentStatus/>
</cp:coreProperties>
</file>