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ejs/Documents/GitHub/Act-135/Act_135_Philly/raw/"/>
    </mc:Choice>
  </mc:AlternateContent>
  <xr:revisionPtr revIDLastSave="0" documentId="13_ncr:1_{DB4947F3-5664-164A-88C8-F0AF14A5B2CA}" xr6:coauthVersionLast="47" xr6:coauthVersionMax="47" xr10:uidLastSave="{00000000-0000-0000-0000-000000000000}"/>
  <bookViews>
    <workbookView xWindow="4200" yWindow="820" windowWidth="24280" windowHeight="16300" xr2:uid="{00000000-000D-0000-FFFF-FFFF00000000}"/>
  </bookViews>
  <sheets>
    <sheet name="act135cases" sheetId="1" r:id="rId1"/>
  </sheets>
  <definedNames>
    <definedName name="_xlnm.Print_Titles" localSheetId="0">act135cases!$1:$1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73" i="1" l="1"/>
  <c r="B672" i="1"/>
  <c r="B671" i="1"/>
  <c r="B670" i="1"/>
  <c r="B669" i="1"/>
  <c r="B668" i="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sharedStrings.xml><?xml version="1.0" encoding="utf-8"?>
<sst xmlns="http://schemas.openxmlformats.org/spreadsheetml/2006/main" count="6290" uniqueCount="3904">
  <si>
    <t>dfiled</t>
  </si>
  <si>
    <t>docketnum</t>
  </si>
  <si>
    <t>caption</t>
  </si>
  <si>
    <t>status</t>
  </si>
  <si>
    <t>petitioner</t>
  </si>
  <si>
    <t>petitioner_atty</t>
  </si>
  <si>
    <t>respondent</t>
  </si>
  <si>
    <t>respondent_atty</t>
  </si>
  <si>
    <t>address</t>
  </si>
  <si>
    <t>opanum</t>
  </si>
  <si>
    <t>disposition</t>
  </si>
  <si>
    <t>2009-10-26 15:06:00</t>
  </si>
  <si>
    <t>IN RE A CONSERVATORSHIP PROCEEDING IN REM BY THE G</t>
  </si>
  <si>
    <t>ORDRF - ORDER ENTERED - FINAL DISPOS</t>
  </si>
  <si>
    <t>ZIMOLONG, WALTER S</t>
  </si>
  <si>
    <t>APORA - ORDER AFFIRMED BY APPELLATE CT: ORDER OF THE COMMONWEALT COURT AT 2385 CD 2008 THAT THE ORDER OF THE COURT OF COMMON PLEAS IS AFFIRMED.......4/30/10  RECORD RETURNED.</t>
  </si>
  <si>
    <t>2016-02-19 14:46:00</t>
  </si>
  <si>
    <t>DONAHUE VS FERNANDEZ ETAL</t>
  </si>
  <si>
    <t>ZRSDE - PRAEC/SETTLE DISCONTINUE END</t>
  </si>
  <si>
    <t>DONAHUE, F SCOTT</t>
  </si>
  <si>
    <t>MCILHINNEY, MICHAEL P; TONER, PAUL J</t>
  </si>
  <si>
    <t>FERNANDEZ, KWAME</t>
  </si>
  <si>
    <t>2318 ST. ALBANS STREET</t>
  </si>
  <si>
    <t>PRSDE - PRAEC/SETTLE DISCONTINUE END: SETTLED VIA S D &amp; E PRAECIPE FILED. (FILED ON BEHALF OF F.SCOTT DONAHUE)</t>
  </si>
  <si>
    <t>2016-12-27 11:58:00</t>
  </si>
  <si>
    <t>RAZA VS DAKU ETAL</t>
  </si>
  <si>
    <t>RAZA, RAHIL</t>
  </si>
  <si>
    <t>KLEIN, JARED N</t>
  </si>
  <si>
    <t>DAKU, BUJAR</t>
  </si>
  <si>
    <t>DIMMERMAN, HARPER J</t>
  </si>
  <si>
    <t>1405 S 21ST</t>
  </si>
  <si>
    <t>ZR236 - NOTICE GIVEN UNDER RULE 236: NOTICE GIVEN ON 22-SEP-2017 OF ORDER ENTERED - FINAL DISPOS ENTERED ON 21-SEP-2017.</t>
  </si>
  <si>
    <t>2021-03-16 20:52:00</t>
  </si>
  <si>
    <t>SCIOLI TURCO, INC VS GARDINER ETAL</t>
  </si>
  <si>
    <t>M0238 - LISTED FOR ORAL ARGUMENTS</t>
  </si>
  <si>
    <t>SCIOLI TURCO INC</t>
  </si>
  <si>
    <t>VANDERSLICE, RICHARD L</t>
  </si>
  <si>
    <t>GARDINER, ANTOINE</t>
  </si>
  <si>
    <t>DENENBERG, DAVID H</t>
  </si>
  <si>
    <t>1101 N 40TH STREET</t>
  </si>
  <si>
    <t>MAILR - RETURNED MAIL RECEIVED: RETURNED MAIL ORDER DATED 04/29/22 AS UNDELIVERABLE AT THE ADDRESS ON FILE WITH THE COURT TO THE FOLLOWING PARTY: TAJA REIZE.</t>
  </si>
  <si>
    <t>2022-02-11 12:56:00</t>
  </si>
  <si>
    <t>3858 GIRARD LLC VS BAILEY</t>
  </si>
  <si>
    <t>3858 GIRARD LLC</t>
  </si>
  <si>
    <t>BENOFF, BART</t>
  </si>
  <si>
    <t>BAILEY, STANLEY</t>
  </si>
  <si>
    <t>885-87 N 41ST STREET</t>
  </si>
  <si>
    <t>062247200</t>
  </si>
  <si>
    <t>ORDRF - ORDER ENTERED - FINAL DISPOS: ***PLEASE NOTE: THIS ENTRY IS BEING MADE TO UPDATE THIS CASE TO THE PROPER STATUS.     ...OJR TXF</t>
  </si>
  <si>
    <t>2022-07-01 15:25:00</t>
  </si>
  <si>
    <t>QUATRE MANAGEMENT LLC VS BROWN ETAL</t>
  </si>
  <si>
    <t>QUATRE MANAGEMENT LLC</t>
  </si>
  <si>
    <t>ROSS, GLENN M</t>
  </si>
  <si>
    <t>BROWN, CATHERINE Z; HEIRS, ALL UNKNOWN</t>
  </si>
  <si>
    <t>NEAL, NATHAN A</t>
  </si>
  <si>
    <t>1427-1429 W ERIE</t>
  </si>
  <si>
    <t>ZR236 - NOTICE GIVEN UNDER RULE 236: NOTICE GIVEN ON 22-MAY-2023 OF ORDER ENTERED - FINAL DISPOS ENTERED ON 22-MAY-2023.</t>
  </si>
  <si>
    <t>2022-12-28 16:17:00</t>
  </si>
  <si>
    <t>BLANCO VS BOMZE ETAL</t>
  </si>
  <si>
    <t>BLANCO, LIZA</t>
  </si>
  <si>
    <t>BOMZE, ARNOLD; BOMZE, HELEN</t>
  </si>
  <si>
    <t>PRSDE - PRAEC/SETTLE DISCONTINUE END</t>
  </si>
  <si>
    <t>2011-11-21 10:43:00</t>
  </si>
  <si>
    <t>THE GERMANTOWN CONSERVANCY, INC. VS MEYER ETAL</t>
  </si>
  <si>
    <t>DISPO - DISPOSED -  CASE CLOSED</t>
  </si>
  <si>
    <t>GERMANTOWN CONSERVANCY INC</t>
  </si>
  <si>
    <t>SARGENT, JAMES C; WOLFE, J MATTHEW</t>
  </si>
  <si>
    <t>MEYER, ELIZABETH</t>
  </si>
  <si>
    <t>MARKOWITZ, ANDREW L</t>
  </si>
  <si>
    <t>149 W WALNUT LANE</t>
  </si>
  <si>
    <t>DISPO - DISPOSED -  CASE CLOSED: CASE DISPOSED-SEE FINDINGS AND ORDER OF 4/13/2012.</t>
  </si>
  <si>
    <t>2010-04-23 16:20:00</t>
  </si>
  <si>
    <t>PALMER VS CATINZZO ETAL</t>
  </si>
  <si>
    <t>PALMER, JOEL</t>
  </si>
  <si>
    <t>CATINZZO, JAMES; DIPASQUALE, SALVATORE; SACAFA, ANTHONY; VETERANS OF FOREIGN WARS OF THE UNITED STATES</t>
  </si>
  <si>
    <t>753 S 08TH STREET</t>
  </si>
  <si>
    <t>ZR236 - NOTICE GIVEN UNDER RULE 236: NOTICE GIVEN ON 29-MAR-2011 OF ORDER ENTERED - FINAL DISPOS ENTERED ON 28-MAR-2011.</t>
  </si>
  <si>
    <t>2011-08-31 14:40:00</t>
  </si>
  <si>
    <t>CARDILLO VS IZZO</t>
  </si>
  <si>
    <t>SATFD - SATISFACTION FILED</t>
  </si>
  <si>
    <t>CARDILLO, JOSEPHINE</t>
  </si>
  <si>
    <t>BUSCEMI, CATHY; BUSCEMI, JACK; IZZO, ANTONIO</t>
  </si>
  <si>
    <t>DIGIORGIO, JOHN S; VANDERMARK, JEREMIAH J</t>
  </si>
  <si>
    <t>1819 S 11TH STREET</t>
  </si>
  <si>
    <t>012405005</t>
  </si>
  <si>
    <t>SATFD - SATISFACTION FILED: ORDER TO SATISFY THE JUDGMENT FILED. (FILED ON BEHALF OF JOSEPHINE CARDILLO)</t>
  </si>
  <si>
    <t>2011-04-19 12:50:00</t>
  </si>
  <si>
    <t>EHRENHALT VS MOLINA ETAL</t>
  </si>
  <si>
    <t>ZRDSC - PRAECIPE TO DISCONTINUE</t>
  </si>
  <si>
    <t>EHRENHALT, STEPHEN</t>
  </si>
  <si>
    <t>MOLINA, LESLIE</t>
  </si>
  <si>
    <t>3012 W STILES STREET</t>
  </si>
  <si>
    <t>2012-02-27 15:55:00</t>
  </si>
  <si>
    <t>URBAN TREE CONNECTION VS VINCENT ETAL</t>
  </si>
  <si>
    <t>URBAN TREE CONNECTION</t>
  </si>
  <si>
    <t>DOUGLAS, JENNIFER E</t>
  </si>
  <si>
    <t>VINCENT, JEAN</t>
  </si>
  <si>
    <t>ELLENBERG, STANLEY J; VANDERMARK, JEREMIAH J</t>
  </si>
  <si>
    <t>5427 HAVERFORD AVENUE</t>
  </si>
  <si>
    <t>041050500</t>
  </si>
  <si>
    <t>LISPR - RELEASE OF LIS PENDENS FILED: PRAECIPE TO RELEASE LIS PENDENS AS TO PREMISES 5427 HAVERFORD AVENUE, PHILADELPHIA FILED. (FILED ON BEHALF OF URBAN TREE CONNECTION)</t>
  </si>
  <si>
    <t>2012-03-15 08:26:00</t>
  </si>
  <si>
    <t>LEUZZI VS GREEN</t>
  </si>
  <si>
    <t>LEUZZI, STEVEN</t>
  </si>
  <si>
    <t>GREEN, IRENE</t>
  </si>
  <si>
    <t>2130 FERNON</t>
  </si>
  <si>
    <t>PRSDE - PRAEC/SETTLE DISCONTINUE END: SETTLED VIA S D &amp; E PRAECIPE FILED. (FILED ON BEHALF OF STEVEN LEUZZI)</t>
  </si>
  <si>
    <t>2010-01-28 01:10:00</t>
  </si>
  <si>
    <t>OGONTZ AVENUE REVITALIZATION CORPORATION VS KALEMK</t>
  </si>
  <si>
    <t>OGONTZ AVENUE REVITALIZATION CORPORATION</t>
  </si>
  <si>
    <t>CHURCH, EZRA D</t>
  </si>
  <si>
    <t>KALEMKERIAN, LEON; KALEMKERIAN, MARY O</t>
  </si>
  <si>
    <t>7452-54 OGONTZ AVENUE</t>
  </si>
  <si>
    <t>ZRDSC - PRAECIPE TO DISCONTINUE: ORDER TO DISCONTINUE WITHOUT PREJUDICE FILED. (FILED ON BEHALF OF OGONTZ AVENUE REVITALIZATION CORPORATION)</t>
  </si>
  <si>
    <t>2010-12-13 14:16:00</t>
  </si>
  <si>
    <t>EXILE PROPERTIES, LLC VS STEWART</t>
  </si>
  <si>
    <t>EXILE PROPERTIES LLC</t>
  </si>
  <si>
    <t>CRAWFORD JR JR, PETER D</t>
  </si>
  <si>
    <t>STEWART, KAYE</t>
  </si>
  <si>
    <t>2128 N 16TH STREET</t>
  </si>
  <si>
    <t>DISPO - DISPOSED -  CASE CLOSED: SEE ORDER ENTERED BY TERESHKO, J. ON 4/17/12</t>
  </si>
  <si>
    <t>2010-12-10 15:01:00</t>
  </si>
  <si>
    <t>PALMER VS VETRANS OF FOREIGN WARS OF UNITED STATES</t>
  </si>
  <si>
    <t>SCIOLI-TURCO POST 592; VETRANS OF FOREIGN WARS OF UNITED STATES</t>
  </si>
  <si>
    <t>744 ST. ALBANS STREET</t>
  </si>
  <si>
    <t>022203010</t>
  </si>
  <si>
    <t>2010-09-29 14:35:00</t>
  </si>
  <si>
    <t>KING VS JONES</t>
  </si>
  <si>
    <t>KING JR, TONY DPHAX</t>
  </si>
  <si>
    <t>WISE, COREN J</t>
  </si>
  <si>
    <t>JONES, JOHN</t>
  </si>
  <si>
    <t>KRISCH, DAVID M</t>
  </si>
  <si>
    <t>1346 S 46 STREET</t>
  </si>
  <si>
    <t>ZR236 - NOTICE GIVEN UNDER RULE 236: NOTICE GIVEN ON 18-AUG-2015 OF ORDER ENTERED - FINAL DISPOS ENTERED ON 14-AUG-2015.</t>
  </si>
  <si>
    <t>2011-11-21 16:06:00</t>
  </si>
  <si>
    <t>D'ALESSIO VS POLIDORO ETAL</t>
  </si>
  <si>
    <t>DALESSIO, GERARD</t>
  </si>
  <si>
    <t>POLIDORO, ANTHONY</t>
  </si>
  <si>
    <t>1331 S ALDER</t>
  </si>
  <si>
    <t>012467800</t>
  </si>
  <si>
    <t>ZR236 - NOTICE GIVEN UNDER RULE 236: NOTICE GIVEN ON 06-SEP-2013 OF ORDER ENTERED/236 NOTICE GIVEN ENTERED ON 05-SEP-2013.</t>
  </si>
  <si>
    <t>2010-07-08 14:27:00</t>
  </si>
  <si>
    <t>URBAN TREE CONNECTION VS POLSELLI ETAL</t>
  </si>
  <si>
    <t>TASCA, JOEL E</t>
  </si>
  <si>
    <t>POLSELLI, RUDOLPH T</t>
  </si>
  <si>
    <t>621 N 54TH STREET</t>
  </si>
  <si>
    <t>LISPR - RELEASE OF LIS PENDENS FILED: PRAECIPE TO RELEASE LIS PENDENS AS TO PREMISES 621 N 54TH STREET, PHILADELPHIA FILED. (FILED ON BEHALF OF URBAN TREE CONNECTION)</t>
  </si>
  <si>
    <t>2010-07-08 13:20:00</t>
  </si>
  <si>
    <t>608 N 53RD STREET</t>
  </si>
  <si>
    <t>LISPR - RELEASE OF LIS PENDENS FILED: PRAECIPE TO RELEASE LIS PENDENS AS TO PREMISES 608 N 53RD STREET, PHILADELPHIA FILED. (FILED ON BEHALF OF URBAN TREE CONNECTION)</t>
  </si>
  <si>
    <t>2016-03-23 14:57:00</t>
  </si>
  <si>
    <t>SABO VS CY 4 LLC</t>
  </si>
  <si>
    <t>ZNODI - DISPOSED-NO DOCKET ACTIVITY</t>
  </si>
  <si>
    <t>SABO JR, STEPHEN</t>
  </si>
  <si>
    <t>CY 4 LLC</t>
  </si>
  <si>
    <t>1309 POINT BREEZE AVENUE</t>
  </si>
  <si>
    <t>ZNODI - DISPOSED-NO DOCKET ACTIVITY: THIS MATTER IS ADMINISTRATIVELY CLOSED DUE TO DOCKET INACTIVITY OF MORE THAN 24 MONTHS.</t>
  </si>
  <si>
    <t>2014-07-14 11:55:00</t>
  </si>
  <si>
    <t>GORDON VS RHANEY</t>
  </si>
  <si>
    <t>GORDON, JAMILLAH</t>
  </si>
  <si>
    <t>BURNS JR, DONALD</t>
  </si>
  <si>
    <t>RHANEY, ANTHONY</t>
  </si>
  <si>
    <t>1938 68TH AVENUE</t>
  </si>
  <si>
    <t>ZR236 - NOTICE GIVEN UNDER RULE 236: NOTICE GIVEN ON 11-FEB-2016 OF ORDER ENTERED - FINAL DISPOS ENTERED ON 09-FEB-2016.</t>
  </si>
  <si>
    <t>2013-01-06 12:26:00</t>
  </si>
  <si>
    <t>SCIOLI TURCO, INC. VS ESTATE OF HAZEL ALLEN, HAZEL</t>
  </si>
  <si>
    <t>M0677 - AGREEMENT OF SALE APPROVED</t>
  </si>
  <si>
    <t>ALLEN ESTATE OF HAZELITA HAYES EXECUTRIX, HAZEL</t>
  </si>
  <si>
    <t>KOELSCH 273, YEKATERINA</t>
  </si>
  <si>
    <t>1342 S 16TH STREET</t>
  </si>
  <si>
    <t>PRATT - PRAECIPE TO SUPPL/ATTACH FILED: 08-13010708 PRAECIPE TO SUPPLEMENT/ATTACH RE: PET-APPT CONSERVATOR-ACT 135 FILED. (FILED ON BEHALF OF SCIOLI TURCO, INC.)</t>
  </si>
  <si>
    <t>2014-06-24 11:24:00</t>
  </si>
  <si>
    <t>SCIOLI TURCO, INC. VS LURUBE DEVELOPERS ETAL</t>
  </si>
  <si>
    <t>STEIN, JONATHAN E; VANDERSLICE, RICHARD L</t>
  </si>
  <si>
    <t>LURUBE DEVELOPERS</t>
  </si>
  <si>
    <t>HARPER SR, RONALD J; MARTIN, MARY-KATE; REUTER, LEONARD F</t>
  </si>
  <si>
    <t>1700 CHRISTIAN STREET</t>
  </si>
  <si>
    <t>ZR236 - NOTICE GIVEN UNDER RULE 236: NOTICE GIVEN ON 05-OCT-2016 OF ORDER ENTERED/236 NOTICE GIVEN ENTERED ON 04-OCT-2016.</t>
  </si>
  <si>
    <t>2021-05-25 11:09:00</t>
  </si>
  <si>
    <t>SCIOLI TURCO, INC. VS IP</t>
  </si>
  <si>
    <t>IP, MONA MO YIN</t>
  </si>
  <si>
    <t>BERNICK, ADAM S</t>
  </si>
  <si>
    <t>6500 HEGERMAN STREET</t>
  </si>
  <si>
    <t>PRSDE - PRAEC/SETTLE DISCONTINUE END: SETTLED VIA S D &amp; E PRAECIPE FILED. (FILED ON BEHALF OF SCIOLI TURCO INC)</t>
  </si>
  <si>
    <t>2022-07-22 12:29:00</t>
  </si>
  <si>
    <t>PHILADELPHIA COMMUNITY DEVELOPMENT COALITION, INC.</t>
  </si>
  <si>
    <t>M0673 - LISTED-HRNG CONSERVATOR ACT</t>
  </si>
  <si>
    <t>PHILADELPHIA COMMUNITY DEVELOPMENT COALITION INC</t>
  </si>
  <si>
    <t>PECORA ESQ, JOSEPH</t>
  </si>
  <si>
    <t>6901 SHERMAN LLC</t>
  </si>
  <si>
    <t>1218 GREYLOCK</t>
  </si>
  <si>
    <t>M0444 - LISTED-HRNG CONSERVATOR ACT: EVIDENTIARY HEARING SCHEDULED FOR 6/13/2023 AT 11:30 A.M. IN COURTROOM 453, CITY HALL.</t>
  </si>
  <si>
    <t>2022-05-18 14:45:00</t>
  </si>
  <si>
    <t>PHILADELPHIA COMMUNITY GROWTH, INC. VS JESSIE M. D</t>
  </si>
  <si>
    <t>PHILADELPHIA COMMUNITY GROWTH INC</t>
  </si>
  <si>
    <t>MCILHINNEY, MICHAEL P; PFIRRMAN, JOHN ROBERT; TONER, PAUL J; TURNER JR, FRANK L</t>
  </si>
  <si>
    <t>JESSIE M DAVIS ADMINISTRATRIX OF JOSEPH ROULHAC ESTATE</t>
  </si>
  <si>
    <t>1231 S 27TH STREET</t>
  </si>
  <si>
    <t>MAILR - RETURNED MAIL RECEIVED: RETURNED MAIL ORDER DATED 7/14/22 AS UNDELIVERABLE AT THE ADDRESS ON FILE WITH THE COURT TO THE FOLLOWING PARTY: SECOND CONSUMER DISCOUNT COMPANY.</t>
  </si>
  <si>
    <t>2016-03-21 13:57:00</t>
  </si>
  <si>
    <t>IS3 1234, LLC VS WRIGHT</t>
  </si>
  <si>
    <t>IS3 1234 LLC</t>
  </si>
  <si>
    <t>BINDER, BRET M; LEVY-TATUM, JENNIFER W</t>
  </si>
  <si>
    <t>WRIGHT, GODFREY</t>
  </si>
  <si>
    <t>2934 W FLORA STREET</t>
  </si>
  <si>
    <t>ZRDSC - PRAECIPE TO DISCONTINUE: ORDER TO DISCONTINUE WITHOUT PREJUDICE FILED. (FILED ON BEHALF OF IS3 1234, LLC)
ENTRY OF APPEARANCE FILED ON BEHALF OF IS3 1234, LLC.</t>
  </si>
  <si>
    <t>2023-07-21 14:33:00</t>
  </si>
  <si>
    <t>CAPRIOTTI VS WAINWRIGHT ETAL</t>
  </si>
  <si>
    <t>ACTIV - ACTIVE CASE</t>
  </si>
  <si>
    <t>CAPRIOTTI, STEVEN</t>
  </si>
  <si>
    <t>MCILHINNEY, MICHAEL P</t>
  </si>
  <si>
    <t>UNKNOWN HEIRS OF RICHARD GARY WAINWRIGHT; WAINWRIGHT, RICHARD GARY</t>
  </si>
  <si>
    <t>527 STRAHLE STREET</t>
  </si>
  <si>
    <t>LISPN - LIS PENDENS FILED: CERTIFICATION THAT THIS ACTION INVOLVES TITLE TO REAL ESTATE. PRAECIPE TO INDEX LIS PENDENS AS TO PREMISES 527 STRAHLE STREET, PHILADELPHIA.</t>
  </si>
  <si>
    <t>2020-07-23 14:38:00</t>
  </si>
  <si>
    <t>KRAMER VS COLDING ETAL</t>
  </si>
  <si>
    <t>M0591 - LISTED-STAT CONF CONSERVATOR</t>
  </si>
  <si>
    <t>KRAMER, KENNETH</t>
  </si>
  <si>
    <t>COLDING, ERDIS A</t>
  </si>
  <si>
    <t>PAGE SR., SHAWN K; SCOTT, NIGEL S</t>
  </si>
  <si>
    <t>3843 HAMILTON</t>
  </si>
  <si>
    <t>REPLM - MOTION/PETITION REPLY FILED: 26-23030526 REPLY IN SUPPORT OF MISCELLANEOUS MOTION/PETITION FILED. (FILED ON BEHALF OF KENNETH KRAMER)</t>
  </si>
  <si>
    <t>2017-05-03 13:16:00</t>
  </si>
  <si>
    <t>CHEN VS THE ESTATE OF ANNA M. GOLDEN ETAL</t>
  </si>
  <si>
    <t>CHEN, CHU-YI</t>
  </si>
  <si>
    <t>BERGER, GRANT G; STEIN, JONATHAN E; VANDERSLICE, RICHARD L</t>
  </si>
  <si>
    <t>GOLDEN, ANNA M; GOLDEN ESTATE OF, ANNA M</t>
  </si>
  <si>
    <t>2712 W HARPER STREET</t>
  </si>
  <si>
    <t>2018-06-07 16:07:00</t>
  </si>
  <si>
    <t>GLOBAL GIVINGS DEVELOPMENT CORPORATION VS YOUNG ET</t>
  </si>
  <si>
    <t>GLOBAL GIVINGS DEVELOPMENT CORPORATION</t>
  </si>
  <si>
    <t>YOUNG, MARK A</t>
  </si>
  <si>
    <t>LEHMAN, DAVID K</t>
  </si>
  <si>
    <t>5111 WILLOWS AVENUE</t>
  </si>
  <si>
    <t>LISPR - RELEASE OF LIS PENDENS FILED: PRAECIPE TO RELEASE LIS PENDENS AS TO PREMISES FILED. (FILED ON BEHALF OF GLOBAL GIVINGS DEVELOPMENT CORPORATION)</t>
  </si>
  <si>
    <t>2021-01-13 12:37:00</t>
  </si>
  <si>
    <t>SABIR VS LE REAL ESTATE LLC</t>
  </si>
  <si>
    <t>SABIR, KHADIJAH</t>
  </si>
  <si>
    <t>CARR, PETER; GAVIN ESQ, DELIA C; RITTERMAN, SAMUEL H</t>
  </si>
  <si>
    <t>LE REAL ESTATE LLC</t>
  </si>
  <si>
    <t>MURPHY, SEAN</t>
  </si>
  <si>
    <t>6814-20 OLD YORK ROAD</t>
  </si>
  <si>
    <t>M0462 - LISTED-STAT CONF CONSERVATOR: 93-21010993 STATUS HEARING SCHEDULED FOR 3/22/2024 AT 9:30 A.M. VIA ZOOM</t>
  </si>
  <si>
    <t>2017-06-12 15:15:00</t>
  </si>
  <si>
    <t>GREATER PHILADELPHIA CONSERVATORY COMMUNITY DEVELO</t>
  </si>
  <si>
    <t>GREATER PHILADELPHIA CONSERVATORY COMMUNITY DEVELOPMENT CORP</t>
  </si>
  <si>
    <t>COLAVITA, PASQUALE J</t>
  </si>
  <si>
    <t>MCCROSSON, JAMES F; MCCROSSON, MARY ANN</t>
  </si>
  <si>
    <t>2654 S BOUVIER STREET</t>
  </si>
  <si>
    <t>ESCRO - MONIES DEPOSITED/PROTHY ESCROW: $15,807.35 PAID BY CHECK TO OJR.</t>
  </si>
  <si>
    <t>2023-10-05 13:44:00</t>
  </si>
  <si>
    <t>1537 TULPEHOCKEN LLC VS CLAIBORNE ETAL</t>
  </si>
  <si>
    <t>1537 TULPEHOCKEN LLC</t>
  </si>
  <si>
    <t>CLAIBORNE, GEORGE; ETHEL CLAIBORNE A/K/A ETHEL WILLIAMS</t>
  </si>
  <si>
    <t>814 UNION STREET</t>
  </si>
  <si>
    <t>LISPN - LIS PENDENS FILED: CERTIFICATION THAT THIS ACTION INVOLVES TITLE TO REAL ESTATE. PRAECIPE TO INDEX LIS PENDENS AS TO PREMISES 814 UNION STREET, PHILADELPHIA.</t>
  </si>
  <si>
    <t>2023-08-16 16:03:00</t>
  </si>
  <si>
    <t>PHILADELPHIA CONSERVATORSHIP ASSOCIATION, INC VS V</t>
  </si>
  <si>
    <t>PHILADELPHIA CONSERVATORSHIP ASSOCIATION, INC</t>
  </si>
  <si>
    <t>TONER, PAUL J</t>
  </si>
  <si>
    <t>CHRISTINA L. ZAWYCKY, ADMIN., ESTATE OF HEDWIG KUROPAS; SCHMIDT, WILLIAM; VICTORIAN LLC</t>
  </si>
  <si>
    <t>931 N 26TH STREET</t>
  </si>
  <si>
    <t>LISPN - LIS PENDENS FILED: CERTIFICATION THAT THIS ACTION INVOLVES TITLE TO REAL ESTATE. PRAECIPE TO INDEX LIS PENDENS AS TO PREMISES 931 N 26TH STREET, PHILADELPHIA.</t>
  </si>
  <si>
    <t>2019-07-23 12:35:00</t>
  </si>
  <si>
    <t>PECORA ESQ, JOSEPH; TONER, PAUL J</t>
  </si>
  <si>
    <t>HOWARD, DASHANDA; MILES, CORDERO</t>
  </si>
  <si>
    <t>1846 N MARSTON</t>
  </si>
  <si>
    <t>PRSDE - PRAEC/SETTLE DISCONTINUE END: SETTLED VIA S D &amp; E PRAECIPE FILED. (FILED ON BEHALF OF PHILADELPHIA COMMUNITY DEVELOPMENT COALITION INC)</t>
  </si>
  <si>
    <t>2018-11-19 18:34:00</t>
  </si>
  <si>
    <t>COMMONWEALTH PRESERVATION ALLIANCE, INC.  VS DESAN</t>
  </si>
  <si>
    <t>COMMONWEALTH PRESERVATION ALLIANCE INC</t>
  </si>
  <si>
    <t>GARDNER, CAROLINE A; MCILHINNEY, MICHAEL P; TONER, PAUL J</t>
  </si>
  <si>
    <t>DESANTIS, THOMAS; UNKNOWN HEIRS OF JOHN F DESANTIS</t>
  </si>
  <si>
    <t>606 WENDOVER STREET</t>
  </si>
  <si>
    <t>ORDRF - ORDER ENTERED - FINAL DISPOS: ***PLEASE NOTE: THIS ENTRY IS BEING MADE TO UPDATE THIS CASE TO THE PROPER STATUS PURSUANT TO COURT ORDER DATED DECEMBER 6, 2018 AND  JANUARY 10, 2019.   ...OJR TXF</t>
  </si>
  <si>
    <t>2018-03-02 16:28:00</t>
  </si>
  <si>
    <t>JOHN KERAK ADMINISTRATOR OF THE ESTATE OF ANNA KERAK; UNKNOWN HEIRS OF ANNA KERAK</t>
  </si>
  <si>
    <t>2332 E THOMPSON STREET</t>
  </si>
  <si>
    <t>ESCRO - MONIES DEPOSITED/PROTHY ESCROW: $13,067.38 DEPOSITED INTO ESCROW WITH THE OFFICE OF JUDICIAL RECORDS PERSUANT TO COURT ORDER FOX, J. CONTROL NUMBER 18101009.</t>
  </si>
  <si>
    <t>2014-02-07 15:27:00</t>
  </si>
  <si>
    <t>SCIOLI TURCO, INC. VS COOK ETAL</t>
  </si>
  <si>
    <t>COOK, MAMIE</t>
  </si>
  <si>
    <t>MARTIN, MARY-KATE</t>
  </si>
  <si>
    <t>1312 S BANCROFT STREET</t>
  </si>
  <si>
    <t>ZR236 - NOTICE GIVEN UNDER RULE 236: NOTICE GIVEN ON 10-JUL-2014 OF STIPULATION APPROVED ENTERED ON 10-JUL-2014.</t>
  </si>
  <si>
    <t>2017-05-26 12:09:00</t>
  </si>
  <si>
    <t>ISLAMIC CULTURAL PRESERVATION AND INFORMATION COUN</t>
  </si>
  <si>
    <t>ISLAMIC CULTURAL PRESERVATION AND INFORMATION COUNCIL</t>
  </si>
  <si>
    <t>BURNS, JARED T; SCHWEDER II, JOHN L</t>
  </si>
  <si>
    <t>KOHL, DENA DUBIN; LAW, MICHELLE NISSENBAUM; NISSENBAUM, ROBERT; NISSENBAUM, SCOTT; THOMAS, SHANA NISSENBAUM</t>
  </si>
  <si>
    <t>4239 LANCASTER AVE</t>
  </si>
  <si>
    <t>LISPR - RELEASE OF LIS PENDENS FILED: PRAECIPE TO RELEASE LIS PENDENS AS TO PREMISES 4239 LANCASTER AVENUE, PHILADELPHIA FILED. (FILED ON BEHALF OF ISLAMIC CULTURAL PRESERVATION AND INFORMATION COUNCIL)</t>
  </si>
  <si>
    <t>2023-07-30 12:50:00</t>
  </si>
  <si>
    <t xml:space="preserve">PHILADELPHIA COMMUNITY DEVELOPMENT COALITION INC. </t>
  </si>
  <si>
    <t>NATIONSTAR MORTGAGE LLC</t>
  </si>
  <si>
    <t>7827 ARGUS ROAD</t>
  </si>
  <si>
    <t>LISPN - LIS PENDENS FILED: CERTIFICATION THAT THIS ACTION INVOLVES TITLE TO REAL ESTATE. PRAECIPE TO INDEX LIS PENDENS AS TO PREMISES 7827 ARGUS ROAD, PHILADELPHIA.</t>
  </si>
  <si>
    <t>2023-06-06 15:19:00</t>
  </si>
  <si>
    <t>SCIOLI TURCO, INC. VS BLESSING REAL ESTATE AND MAN</t>
  </si>
  <si>
    <t>BLESSING REAL ESTATE AND MANAGEMENT LLC</t>
  </si>
  <si>
    <t>5104 E ROOSEVELT BOULEVARD</t>
  </si>
  <si>
    <t>LISPN - LIS PENDENS FILED: CERTIFICATION THAT THIS ACTION INVOLVES TITLE TO REAL ESTATE. PRAECIPE TO INDEX LIS PENDENS AS TO PREMISES 5104 E ROOSEVELT BOULEVARD, PHILADELPHIA.</t>
  </si>
  <si>
    <t>2022-03-20 17:20:00</t>
  </si>
  <si>
    <t>PHILADELPHIA COMMUNITY DEVELOPMENT COALITION VS 54</t>
  </si>
  <si>
    <t>M0514 - COURT FINDING</t>
  </si>
  <si>
    <t>PHILADELPHIA COMMUNITY DEVELOPMENT COALITION</t>
  </si>
  <si>
    <t>5432 LANCASTER AVE LLC; CARAFA, FRANCIS N; CARAFA, LOUISE; JOANNE MCCARTHY CO-ADMINISTRATRIX OF EST OF JOSEPHINE CARAFA; MCCARTHY, JOANNE; ROSALIE A CARAFA CO-ADMIN OF ESTATE OF JOSEPHINE CARAFA; SPINOGATTI, JOHN P</t>
  </si>
  <si>
    <t>LEE, MICHELLE V</t>
  </si>
  <si>
    <t>5432 LANCASTER AVENUE</t>
  </si>
  <si>
    <t>ZR236 - NOTICE GIVEN UNDER RULE 236: NOTICE GIVEN ON 07-OCT-2022 OF COURT FINDING ENTERED ON 07-OCT-2022.</t>
  </si>
  <si>
    <t>2016-08-24 14:27:00</t>
  </si>
  <si>
    <t>HILL VS HAZEL ETAL</t>
  </si>
  <si>
    <t>HILL, LEONARD</t>
  </si>
  <si>
    <t>PICCIRILLI, GAETANO P; PLATT, MONICA C</t>
  </si>
  <si>
    <t>HAZEL, BEULAH; HAZEL, CHARLES; UNKNOWN HEIRS OF BEULAH HAZEL; UNKNOWN HEIRS OF CHARLES HAZEL</t>
  </si>
  <si>
    <t>1332 N 17TH STREET</t>
  </si>
  <si>
    <t>ZRDSC - PRAECIPE TO DISCONTINUE: ORDER TO DISCONTINUE WITHOUT PREJUDICE FILED. (FILED ON BEHALF OF LEONARD HILL)</t>
  </si>
  <si>
    <t>2021-08-06 11:41:00</t>
  </si>
  <si>
    <t xml:space="preserve">PA NEIGHBORHOOD DEVELOPMENT PARTNERSHIP VS 627 S. </t>
  </si>
  <si>
    <t>PA NEIGHBORHOOD DEVELOPMENT PARTNERSHIP</t>
  </si>
  <si>
    <t>CARR, PETER</t>
  </si>
  <si>
    <t>627 S 49TH STREET LLC</t>
  </si>
  <si>
    <t>627 S 49TH STREET</t>
  </si>
  <si>
    <t>LISPR - RELEASE OF LIS PENDENS FILED: PRAECIPE TO RELEASE LIS PENDENS AS TO PREMISES 627 S 49TH STREET, PHILADELPHIA FILED. (FILED ON BEHALF OF PA NEIGHBORHOOD DEVELOPMENT PARTNERSHIP)</t>
  </si>
  <si>
    <t>2024-01-17 10:15:00</t>
  </si>
  <si>
    <t xml:space="preserve">PHILADELPHIA CONSERVATORSHIP ASSOCIATION, INC. VS </t>
  </si>
  <si>
    <t>PHILADELPHIA CONSERVATORSHIP ASSOCIATION INC</t>
  </si>
  <si>
    <t>MCILHINNEY, MICHAEL P; SALOMON GNECCO, ANDREA; TONER, PAUL J</t>
  </si>
  <si>
    <t>CHRISTY, GARRETT</t>
  </si>
  <si>
    <t>201 N 36TH STREET</t>
  </si>
  <si>
    <t>MTASN - MOTION ASSIGNED: 01-24013201 PET-APPT CONSERVATOR-ACT 135 ASSIGNED TO JUDGE: JUDGE, CONSERVATORSHIP . ON DATE: JANUARY 22, 2024</t>
  </si>
  <si>
    <t>2017-08-04 16:18:00</t>
  </si>
  <si>
    <t>JDORF - JUDGMENT-COURT ORDER FINAL DIS</t>
  </si>
  <si>
    <t>SAMMONS ADMINISTRATOR OF ESTATE OF EMERY B SAMMONS, EMERY M</t>
  </si>
  <si>
    <t>5115 WAYNE AVENUE</t>
  </si>
  <si>
    <t>JDORF - JUDGMENT-COURT ORDER FINAL DIS: PRAECIPE FOR ENTRY OF JUDGMENT FILED. 
CERTIFICATE OF SERVICE FILED. NOTICE UNDER RULE 236. 
JUDGMENT IS ENTERED IN FAVOR OF PHILADELPHIA COMMUNITY DEVELOPMENT COALITION, INC. AND AGAINST EMERY M. SAMMONS ADMINISTRATOR OF ESTATE OF EMERY B. SAMMONS IN THE AMOUNT OF $ ON THE COURT ORDER DATED 06/07/2018.</t>
  </si>
  <si>
    <t>2013-05-30 16:01:00</t>
  </si>
  <si>
    <t xml:space="preserve"> GRATMAN VS KAVEH ETAL</t>
  </si>
  <si>
    <t>GRATMAN, STEVEN</t>
  </si>
  <si>
    <t>KAVEH, HOUSHANG</t>
  </si>
  <si>
    <t>NICOLA, P JOSEPH</t>
  </si>
  <si>
    <t>2445 S ALDER</t>
  </si>
  <si>
    <t>ZRDSC - PRAECIPE TO DISCONTINUE: ORDER TO DISCONTINUE WITHOUT PREJUDICE FILED. (FILED ON BEHALF OF STEVEN GRATMAN)</t>
  </si>
  <si>
    <t>2016-10-11 17:14:00</t>
  </si>
  <si>
    <t>SCIOLI TURCO, INC. VS THE ESTATE OF JOAN CALISTO E</t>
  </si>
  <si>
    <t>CALISTO ESTATE OF, JOAN; CALISTO EXECUTOR, MICHAEL K; RODGERS, MICHAEL</t>
  </si>
  <si>
    <t>424 N 32ND STREET</t>
  </si>
  <si>
    <t>CLRDS - REMOVED FROM DEFERRED STATUS</t>
  </si>
  <si>
    <t>2017-08-10 14:29:00</t>
  </si>
  <si>
    <t>MCILHINNEY, MICHAEL P; TABAS, LAUREN R</t>
  </si>
  <si>
    <t>1812 MANTON STREET</t>
  </si>
  <si>
    <t>ORDRF - ORDER ENTERED - FINAL DISPOS: *** PLEASE NOTE: THIS ENTRY IS BEING MADE TO UPDATE THE STATUS OF THIS CASE. *** CMF OJR</t>
  </si>
  <si>
    <t>2016-08-19 12:32:00</t>
  </si>
  <si>
    <t>PHILADELPHIA COMMUNITY DEVELOPMENT COALITION VS MA</t>
  </si>
  <si>
    <t>FOX, MICHAEL; MCILHINNEY, MICHAEL P; TONER, PAUL J</t>
  </si>
  <si>
    <t>INGLETON, TAMIKA; MAHONE, NATHANIEL; TWO COMMA LLC</t>
  </si>
  <si>
    <t>GAIER, MICHAEL H</t>
  </si>
  <si>
    <t>855 N 16TH STREET</t>
  </si>
  <si>
    <t>SATFD - SATISFACTION FILED: ORDER TO SATISFY THE JUDGMENT FILED. (FILED ON BEHALF OF PHILADELPHIA COMMUNITY DEVELOPMENT COALITION)</t>
  </si>
  <si>
    <t>2020-03-02 10:04:00</t>
  </si>
  <si>
    <t>NOLAN VS THOMAS ETAL</t>
  </si>
  <si>
    <t>NOLAN, ANGELO</t>
  </si>
  <si>
    <t>SIMON, BETTY A; VANDERSLICE, RICHARD L</t>
  </si>
  <si>
    <t>THOMAS JR., THEOSDORE</t>
  </si>
  <si>
    <t>2504 W SEYBERT</t>
  </si>
  <si>
    <t>MAILR - RETURNED MAIL RECEIVED: RETURNED MAIL ORDER DATED 02/04/21 AS UNDELIVERABLE AT THE ADDRESS ON FILE WITH THE COURT TO THE FOLLOWING PARTY: FLEET CONSUMER DISCOUNT COMPANY.</t>
  </si>
  <si>
    <t>2022-09-07 10:42:00</t>
  </si>
  <si>
    <t>SCIOLI TURCO, INC. VS BEDNAREK ETAL</t>
  </si>
  <si>
    <t>BEDNAREK, MICHAEL</t>
  </si>
  <si>
    <t>2600 ORTHODOX STREET</t>
  </si>
  <si>
    <t>M0462 - LISTED-STAT CONF CONSERVATOR: 06-22091206 STATUS HEARING SCHEDULED FOR 10/24/2023 AT 3:30 P.M. IN COURTROOM 453, CITY HALL.</t>
  </si>
  <si>
    <t>2021-05-13 11:44:00</t>
  </si>
  <si>
    <t xml:space="preserve">PHILADELPHA COMMUNITY DEVELOPMENT COALITION, INC. </t>
  </si>
  <si>
    <t>DC INTEGRAL SYSTEMS INC</t>
  </si>
  <si>
    <t>1751 TILGHMAN STREET</t>
  </si>
  <si>
    <t>PRSDE - PRAEC/SETTLE DISCONTINUE END: SETTLED VIA S D &amp; E PRAECIPE FILED. (FILED ON BEHALF OF PHILADELPHA COMMUNITY DEVELOPMENT COALITION INC)</t>
  </si>
  <si>
    <t>2015-04-24 12:12:00</t>
  </si>
  <si>
    <t>LETTER VS THE CHURCH OF THE HOLY CHURCH OF JESUS C</t>
  </si>
  <si>
    <t>LETTER, BENJAMIN</t>
  </si>
  <si>
    <t>CHURCH OF THE HOLY CHURCH OF JESUS CHRIST THE SON OF GO</t>
  </si>
  <si>
    <t>1538 RIDGE AVENUE</t>
  </si>
  <si>
    <t>PRSDE - PRAEC/SETTLE DISCONTINUE END: SETTLED VIA S D &amp; E PRAECIPE FILED. (FILED ON BEHALF OF BENJAMIN LETTER)</t>
  </si>
  <si>
    <t>2020-10-20 16:56:00</t>
  </si>
  <si>
    <t>GLOBAL GIVINGS DEVELOPMENT CORPORATION VS BIZIAIKO</t>
  </si>
  <si>
    <t>BIZIAIKO, YURII</t>
  </si>
  <si>
    <t>2042 MOORE</t>
  </si>
  <si>
    <t>ZRDSC - PRAECIPE TO DISCONTINUE: IN REFERENCE TO PRAECIPE TO WITHDRAW FILED 07/01/2021. EBM</t>
  </si>
  <si>
    <t>2014-08-06 17:11:00</t>
  </si>
  <si>
    <t>SPAK GROUP LLC VS RAFTERS CHARITIES  ETAL</t>
  </si>
  <si>
    <t>SPAK GROUP LLC</t>
  </si>
  <si>
    <t>PENNSYLVANIA OFFICE OF ATTORNEY GENERAL; RAFTERS CHARITIES</t>
  </si>
  <si>
    <t>FINGERHUT, PAMELA S</t>
  </si>
  <si>
    <t>5046 BALTIMORE AVE</t>
  </si>
  <si>
    <t>2018-01-29 17:06:00</t>
  </si>
  <si>
    <t>GLOBAL GIVINGS DEVELOPMENT CORPORATION VS BROWN ET</t>
  </si>
  <si>
    <t>STEIN, JONATHAN E; VANDERSLICE, RICHARD L; WATSON, DEANNA E</t>
  </si>
  <si>
    <t>BROWN, TRACEY STEVEN; LIEDSTRAND, CHELSEA</t>
  </si>
  <si>
    <t>FRIEDMAN, D MAX</t>
  </si>
  <si>
    <t>4528 SANSOM</t>
  </si>
  <si>
    <t>ZR236 - NOTICE GIVEN UNDER RULE 236: NOTICE GIVEN ON 23-JUL-2021 OF ORDER ENTERED - FINAL DISPOS ENTERED ON 22-JUL-2021.</t>
  </si>
  <si>
    <t>2017-10-09 15:28:00</t>
  </si>
  <si>
    <t>AMELIA INVESTORS LLC</t>
  </si>
  <si>
    <t>2340 GERRITT STREET</t>
  </si>
  <si>
    <t>2018-03-26 14:01:00</t>
  </si>
  <si>
    <t>PA NEIGHBORHOOD DEVELOPMENT PARTNERSHIP VS WALKER</t>
  </si>
  <si>
    <t>CAMERON 316, ROGER P</t>
  </si>
  <si>
    <t>WALKER, SHARON O; WALKER, SHERMAN</t>
  </si>
  <si>
    <t>1300-02 N TANEY STREET</t>
  </si>
  <si>
    <t>M0378 - CORRECTION TO JUDGMENT INDEX: CORRECTION TO LOCALITY INDEX: LIS PENDENS VACATED PURSUANT TO COURT ORDER DATED 08/03/2018. INDEX UPDATED ON 08/15/2018</t>
  </si>
  <si>
    <t>2020-01-07 20:22:00</t>
  </si>
  <si>
    <t>CITY OF PHILADELPHIA</t>
  </si>
  <si>
    <t>FURST, LYDIA</t>
  </si>
  <si>
    <t>1511-13 N 28TH STREET</t>
  </si>
  <si>
    <t>2019-12-02 10:22:00</t>
  </si>
  <si>
    <t>ERVIN ADMINISTRATRIX OF ESTATE OF WILLIAM ERVIN SR, HALIMA</t>
  </si>
  <si>
    <t>1714 N BAMBREY STREET</t>
  </si>
  <si>
    <t>ZRDSC - PRAECIPE TO DISCONTINUE: ORDER TO DISCONTINUE WITHOUT PREJUDICE FILED. (FILED ON BEHALF OF PHILADELPHIA COMMUNITY DEVELOPMENT COALITION INC)</t>
  </si>
  <si>
    <t>2019-08-30 13:12:00</t>
  </si>
  <si>
    <t>GLOBAL GIVINGS DEVELOPMENT CORPORATION  VS CHANDLE</t>
  </si>
  <si>
    <t>CHANDLER, CHANCE</t>
  </si>
  <si>
    <t>TAYLOR 626, WILLIAM JON HENRY</t>
  </si>
  <si>
    <t>2632 GERRITT</t>
  </si>
  <si>
    <t>MTWTD - MOTION/PETITION/STIP WITHDRAWN: 92-21030192 PRAECIPE TO WITHDRAW MOTION TO ENFORCE SETTLEMENT FILED. (FILED ON BEHALF OF GLOBAL GIVINGS DEVELOPMENT CORPORATION)</t>
  </si>
  <si>
    <t>2018-04-23 14:36:00</t>
  </si>
  <si>
    <t>KAUFMANN, ANNABELLE; UNKNOWN HEIRS OF MADDALENA POLIDARO</t>
  </si>
  <si>
    <t>730 EARP STREET</t>
  </si>
  <si>
    <t>012024700</t>
  </si>
  <si>
    <t>ORDMN - COURT ORDERED PAYOUT OF ESCROW: CHECK #9308 IN THE AMOUNT OF $61,650.53 WAS RELEASED TO F SCOTT DONAHUE</t>
  </si>
  <si>
    <t>2017-06-28 17:53:00</t>
  </si>
  <si>
    <t>1518 LOUDON LLC</t>
  </si>
  <si>
    <t>1524 RIDGE AVENUE</t>
  </si>
  <si>
    <t>MAILR - RETURNED MAIL RECEIVED: COPY OF ORDER/NOTICE ON 1518 LOUDON LLC RETURNED.</t>
  </si>
  <si>
    <t>2023-11-11 15:51:00</t>
  </si>
  <si>
    <t>PHILADELPHIA COMMUNITY DEVELOPMENT COALITION INC.</t>
  </si>
  <si>
    <t>PHILADELPHIA LAND BANK</t>
  </si>
  <si>
    <t>2653 W SELTZER STREET</t>
  </si>
  <si>
    <t>LISPN - LIS PENDENS FILED: CERTIFICATION THAT THIS ACTION INVOLVES TITLE TO REAL ESTATE. PRAECIPE TO INDEX LIS PENDENS AS TO PREMISES 2653 W SELTZER STREET, PHILADELPHIA.</t>
  </si>
  <si>
    <t>2022-06-13 12:50:00</t>
  </si>
  <si>
    <t>SAMMONS, EMERY M; TSIWEN M LAW ADMINISTRATOR OF ESTATE OF EMERY B SAMMONS</t>
  </si>
  <si>
    <t>SAVAGE JR, MILTON S</t>
  </si>
  <si>
    <t>M0462 - LISTED-STAT CONF CONSERVATOR: 50-22062550 STATUS HEARING SCHEDULED FOR 6/20/23 AT 1:30 P.M. IN COURTROOM 453, CITY HALL.</t>
  </si>
  <si>
    <t>2017-01-31 15:17:00</t>
  </si>
  <si>
    <t>PLAZA AMERICANA, INC. VS FILITI ETAL</t>
  </si>
  <si>
    <t>PLAZA AMERICANA INC</t>
  </si>
  <si>
    <t>ALL UNKNOWN HEIRS; DALTO, LOUIS; FILITI, ANTHONY J</t>
  </si>
  <si>
    <t>2500-26 N AMERICAN STREET</t>
  </si>
  <si>
    <t>PRSDE - PRAEC/SETTLE DISCONTINUE END: SETTLED VIA S D &amp; E PRAECIPE FILED. (FILED ON BEHALF OF PLAZA AMERICANA, INC.)</t>
  </si>
  <si>
    <t>2022-04-14 15:38:00</t>
  </si>
  <si>
    <t>1537 TULPEHOCKEN, LLC VS ROBERSON ETAL</t>
  </si>
  <si>
    <t>ALL UNKNOWN HEIRS; ROBERSON, ALICE; ROBERSON, PONCHITTA</t>
  </si>
  <si>
    <t>1940 N HOLLYWOOD STREET</t>
  </si>
  <si>
    <t>MAILR - RETURNED MAIL RECEIVED: RETURNED MAIL ORDER DATED 6/8/22 AS UNDELIVERABLE AT THE ADDRESS ON FILE WITH THE COURT TO THE FOLLOWING PARTY: ALL UNKNOWN HEIRS.</t>
  </si>
  <si>
    <t>2022-10-14 13:50:00</t>
  </si>
  <si>
    <t>PHILADELPHIA COMMUNITY GROWTH, INC VS KNOWN HEIR O</t>
  </si>
  <si>
    <t>MCILHINNEY, MICHAEL P; TONER, PAUL J; TURNER JR, FRANK L</t>
  </si>
  <si>
    <t>KNOWN HEIR OF MARTHA OMALLEY, JOSEPH J; UNKNOWN HEIRS OF MARTHA OMALLEY</t>
  </si>
  <si>
    <t>2800 CANTRELL</t>
  </si>
  <si>
    <t>M0462 - LISTED-STAT CONF CONSERVATOR: 97-22102397 STATUS CONFERENCE SCHEDULED FOR 3/22/2024 AT 1:30 P.M VIA ZOOM.</t>
  </si>
  <si>
    <t>2020-07-28 17:28:00</t>
  </si>
  <si>
    <t>CENTENNIAL PARKSIDE CDC VS TAYLOR ETAL</t>
  </si>
  <si>
    <t>CENTENNIAL PARKSIDE CDC</t>
  </si>
  <si>
    <t>CARR, PETER; RITTERMAN, SAMUEL H</t>
  </si>
  <si>
    <t>TAYLOR, JOSEPHINE</t>
  </si>
  <si>
    <t>CONSOLE ESQ, JOSEPH J</t>
  </si>
  <si>
    <t>1720 MARLTON AVENUE</t>
  </si>
  <si>
    <t>062272000</t>
  </si>
  <si>
    <t>MTASN - MOTION ASSIGNED: 90-22091190 MISCELLANEOUS MOTION/PETITION ASSIGNED TO JUDGE: JUDGE, CONSERVATORSHIP . ON DATE: SEPTEMBER 29, 2022</t>
  </si>
  <si>
    <t>2016-08-03 16:51:00</t>
  </si>
  <si>
    <t>PHILADELPHIA COMMUNITY DEVELOPMENT COALITION VS RE</t>
  </si>
  <si>
    <t>FOX, MICHAEL; KLEIN, JARED N; MCILHINNEY, MICHAEL P; TONER, PAUL J</t>
  </si>
  <si>
    <t>REECE MAKENZIE UNLIMITED PROPERTIES LLC</t>
  </si>
  <si>
    <t>1828 W THOMPSON STREET</t>
  </si>
  <si>
    <t>PRSDE - PRAEC/SETTLE DISCONTINUE END: SETTLED VIA S D &amp; E PRAECIPE FILED. (FILED ON BEHALF OF PHILADELPHIA COMMUNITY DEVELOPMENT COALITION)
ENTRY OF APPEARANCE FILED ON BEHALF OF PHILADELPHIA COMMUNITY DEVELOPMENT COALITION.</t>
  </si>
  <si>
    <t>2022-08-17 17:41:00</t>
  </si>
  <si>
    <t>FAIRMOUNT CDC VS WILLIAMS</t>
  </si>
  <si>
    <t>FAIRMOUNT CDC</t>
  </si>
  <si>
    <t>RITTERMAN, SAMUEL H</t>
  </si>
  <si>
    <t>WILLIAMS, CHARLES; WILLIAMS, LOUELLA C.</t>
  </si>
  <si>
    <t>1332 N HOLLYWOOD</t>
  </si>
  <si>
    <t>MAILR - RETURNED MAIL RECEIVED: RETURNED MAIL ORDER DATED 04/11/23 AS UNDELIVERABLE AT THE ADDRESS ON FILE WITH THE COURT TO THE FOLLOWING PARTY: LOUELLA C WILLIAMS.</t>
  </si>
  <si>
    <t>2015-07-03 09:54:00</t>
  </si>
  <si>
    <t>SCIOLI TURCO, INC. VS BOGAN ETAL</t>
  </si>
  <si>
    <t>BOGAN, DAVID</t>
  </si>
  <si>
    <t>3215 MEMPHIS STREET</t>
  </si>
  <si>
    <t>PRATT - PRAECIPE TO SUPPL/ATTACH FILED: 33-15070533 PRAECIPE TO SUPPLEMENT/ATTACH RE: PET-APPT CONSERVATOR-ACT 135 FILED. (FILED ON BEHALF OF SCIOLI TURCO, INC.)</t>
  </si>
  <si>
    <t>2016-12-01 14:06:00</t>
  </si>
  <si>
    <t>PHILADELPHIA COMMUNITY DEVELOPMENT COALITION  VS W</t>
  </si>
  <si>
    <t>UNKNOWN HEIRS OF LILLIAN WILLIAMS; WILLIAMS, LILLIAN</t>
  </si>
  <si>
    <t>1921 GERRITT STREET</t>
  </si>
  <si>
    <t>PRSDE - PRAEC/SETTLE DISCONTINUE END: SETTLED VIA S D &amp; E PRAECIPE FILED. (FILED ON BEHALF OF PHILADELPHIA COMMUNITY DEVELOPMENT COALITION)</t>
  </si>
  <si>
    <t>2017-03-24 17:44:00</t>
  </si>
  <si>
    <t>TAGGART, WARREN T</t>
  </si>
  <si>
    <t>1117 E OXFORD STREET</t>
  </si>
  <si>
    <t>M0378 - CORRECTION TO JUDGMENT INDEX: CORRECTION TO LOCALITY INDEX: LIS PENDENS LIFTED PURSUANT TO COURT ORDER DATED 09/18/2017</t>
  </si>
  <si>
    <t>2019-01-17 08:56:00</t>
  </si>
  <si>
    <t>TOLO PROPERTIES, LLC VS JONES ETAL</t>
  </si>
  <si>
    <t>TOLO PROPERTIES LLC</t>
  </si>
  <si>
    <t>MCILHINNEY, MICHAEL P; PECORA ESQ, JOSEPH</t>
  </si>
  <si>
    <t>JONES, SYLVESTER Q; UNKNOWN HEIRS OF SYLVESTER Q JONES</t>
  </si>
  <si>
    <t>1806 HARLAN STREET</t>
  </si>
  <si>
    <t>APORA - ORDER AFFIRMED BY APPELLATE CT: IN RE: 334 CD 2019   ORDER AND MEMORANDUM OPINION TO AFFIRM APPEAL.  5-3-21.</t>
  </si>
  <si>
    <t>2021-05-27 15:37:00</t>
  </si>
  <si>
    <t>SCIOLI TURCO INC. VS CAIN ETAL</t>
  </si>
  <si>
    <t>CAIN, STEPHANIE</t>
  </si>
  <si>
    <t>749 S MARVINE</t>
  </si>
  <si>
    <t>022319000</t>
  </si>
  <si>
    <t>MAILR - RETURNED MAIL RECEIVED: RETURNED MAIL ORDER DATED 8/2/21 AS UNDELIVERABLE AT THE ADDRESS ON FILE WITH THE COURT TO THE FOLLOWING PARTY: STEPHANIE CAIN</t>
  </si>
  <si>
    <t>2017-11-22 15:41:00</t>
  </si>
  <si>
    <t>PPCJ, LLC VS PUGH ETAL</t>
  </si>
  <si>
    <t>PPCJ LLC</t>
  </si>
  <si>
    <t>PUGH, CAROLYN D; PUGH, LESTER G</t>
  </si>
  <si>
    <t>1117 MONTROSE</t>
  </si>
  <si>
    <t>021037000</t>
  </si>
  <si>
    <t>LISPR - RELEASE OF LIS PENDENS FILED: PRAECIPE TO RELEASE LIS PENDENS AS TO PREMISES 1117 MONTROSE, PHILADELPHIA FILED. (FILED ON BEHALF OF PPCJ LLC)</t>
  </si>
  <si>
    <t>2018-10-16 11:57:00</t>
  </si>
  <si>
    <t>DONAHUE, SCOTT F; UNKNOWN HEIRS OF MARY HOLIDAY; VA &amp; B LLC</t>
  </si>
  <si>
    <t>SABATINI, DONALD S</t>
  </si>
  <si>
    <t>1307 N 25TH STREET</t>
  </si>
  <si>
    <t>ZR236 - NOTICE GIVEN UNDER RULE 236: NOTICE GIVEN ON 26-SEP-2019 OF ORDER ENTERED - FINAL DISPOS ENTERED ON 25-SEP-2019.</t>
  </si>
  <si>
    <t>2015-08-12 16:20:00</t>
  </si>
  <si>
    <t>IS ALLEGHENY, LLC  VS YELVERTON  ETAL</t>
  </si>
  <si>
    <t>I S ALLEGHENY LLC</t>
  </si>
  <si>
    <t>YELVERTON, AARON A</t>
  </si>
  <si>
    <t>1601 W ALLEGHENY AVENUE</t>
  </si>
  <si>
    <t>2015-07-28 15:48:00</t>
  </si>
  <si>
    <t>STEPH-SIN DEVELOPMENT, L.L.C. VS WILCOX ETAL</t>
  </si>
  <si>
    <t>STEPH-SIN DEVELOPMENT LLC</t>
  </si>
  <si>
    <t>WILCOX, ANNETT</t>
  </si>
  <si>
    <t>3037 W GIRARD AVENUE</t>
  </si>
  <si>
    <t>CLOEC - OTHER EVENT CANCELLED</t>
  </si>
  <si>
    <t>2016-06-03 12:27:00</t>
  </si>
  <si>
    <t>WALSH III ETAL VS ISABELLA ETAL</t>
  </si>
  <si>
    <t>BLAU, LAURA; GERMANTOWN CONSERVANCY INC; PHILADELPHIA COMMUNITY DEVELOPMENT COALITION; WALSH III, CHARLES J</t>
  </si>
  <si>
    <t>ABRAMSON, DENNIS L; ADAMS, OLIVIA A; ALDERFER, SARAH; GARDNER, CAROLINE A; GINSBURG, JACOB U; MCILHINNEY, MICHAEL P; OLEN, ANDREW; TONER, PAUL J; WOLFE, J MATTHEW</t>
  </si>
  <si>
    <t>ISABELLA, TERESA F</t>
  </si>
  <si>
    <t>CASTOR JR., BRUCE L</t>
  </si>
  <si>
    <t>325 S 18TH STREET</t>
  </si>
  <si>
    <t>MAILR - RETURNED MAIL RECEIVED: RETURNED MAIL OPINION DATED 06-SEPT-2022 AS UNDELIVERABLE AT THE ADDRESS ON FILE WITH THE COURT TO THE FOLLOWING PARTY: TERESA F ISABELLA.</t>
  </si>
  <si>
    <t>2017-10-26 17:59:00</t>
  </si>
  <si>
    <t>THOMPSON, TOMIRAH; UNKNOWN HEIRS OF JUANITA DEL RIO</t>
  </si>
  <si>
    <t>TOPPIN, SHERMAN C</t>
  </si>
  <si>
    <t>545 N 12TH STREET</t>
  </si>
  <si>
    <t>MAILR - RETURNED MAIL RECEIVED: RETURNED MAIL ORDER DATED 12/06/18 AS UNDELIVERABLE AT THE ADDRESS ON FILE WITH THE COURT TO THE FOLLOWING PARTY: LENDINGHOME FUNDING CORPORATION.</t>
  </si>
  <si>
    <t>2014-09-15 21:42:00</t>
  </si>
  <si>
    <t>SCIOLI TURCO, INC. VS MANZANO ETAL</t>
  </si>
  <si>
    <t>MANZANO, MARIA; MANZANO, SAMUEL</t>
  </si>
  <si>
    <t>1421 DICKENSON ST.</t>
  </si>
  <si>
    <t>PRATT - PRAECIPE TO SUPPL/ATTACH FILED: 46-14092146 PRAECIPE TO SUPPLEMENT/ATTACH RE: PET-APPT CONSERVATOR-ACT 135 FILED. (FILED ON BEHALF OF SCIOLI TURCO, INC.)</t>
  </si>
  <si>
    <t>2012-05-17 16:09:00</t>
  </si>
  <si>
    <t>THE GERMANTOWN CONSERVANCY VS TRUSTEES OF PHILADEL</t>
  </si>
  <si>
    <t>GERMANTOWN CONSERVANCY</t>
  </si>
  <si>
    <t>KOHART, MARY E</t>
  </si>
  <si>
    <t>TRUSTEES OF PHILADELPHIA PRESBYTERY</t>
  </si>
  <si>
    <t>6135 GREENE STREET</t>
  </si>
  <si>
    <t>LISPR - RELEASE OF LIS PENDENS FILED: PRAECIPE TO RELEASE LIS PENDENS AS TO PREMISES 6135 GREENE STREET, PHILADELPHIA FILED. (FILED ON BEHALF OF THE GERMANTOWN CONSERVANCY)</t>
  </si>
  <si>
    <t>2016-07-08 14:30:00</t>
  </si>
  <si>
    <t>PHILADELPHIA COMMUNITY DEVELOPMENT COALITION VS CY</t>
  </si>
  <si>
    <t>CY4 LLC</t>
  </si>
  <si>
    <t>ZR236 - NOTICE GIVEN UNDER RULE 236: NOTICE GIVEN ON 20-OCT-2016 OF ORDER ENTERED - FINAL DISPOS ENTERED ON 19-OCT-2016.</t>
  </si>
  <si>
    <t>2018-09-19 11:56:00</t>
  </si>
  <si>
    <t>MASAI JOHNSON ADMINISTRATOR OF ESTATE OF FRANK A TOOMER; PEEK, DONNA; TOOMER, ARLENE; TOOMER JR., ROY R; TOOMER, MARY; TOOMER, PRISCILLA; UNKNOWN HEIRS OF ROY R TOOMER</t>
  </si>
  <si>
    <t>CANUSO JR., VITO F</t>
  </si>
  <si>
    <t>1625 S 22ND STREET</t>
  </si>
  <si>
    <t>2016-08-19 17:01:00</t>
  </si>
  <si>
    <t>IS PINE, LLC VS CASELLE</t>
  </si>
  <si>
    <t>IS PINE LLC</t>
  </si>
  <si>
    <t>LEVY-TATUM, JENNIFER W</t>
  </si>
  <si>
    <t>CASELLE, MICHELLE</t>
  </si>
  <si>
    <t>JOSEPH, ARNOLD C</t>
  </si>
  <si>
    <t>5044 BALTIMORE AVENUE</t>
  </si>
  <si>
    <t>AFDVT - AFFIDAVIT OF SERVICE FILED: AFFIDAVIT OF SERVICE OF DISCONTINUANCE AND RELEASE OF LIS PENDENS UPON ARNOLD C JOSEPH BY FIRST CLASS REGULAR MAIL ON 10/25/2016 FILED. (FILED ON BEHALF OF IS PINE, LLC)</t>
  </si>
  <si>
    <t>2016-03-23 14:46:00</t>
  </si>
  <si>
    <t>SABO VS VOLKENS ETAL</t>
  </si>
  <si>
    <t>SABO JR., STEPHEN</t>
  </si>
  <si>
    <t>VOLKENS, ANGELO P; VOLKENS, GREGORY P</t>
  </si>
  <si>
    <t>1166 DORRANCE STREET</t>
  </si>
  <si>
    <t>2022-05-31 11:26:00</t>
  </si>
  <si>
    <t>PFIRRMAN, JOHN ROBERT; TONER, PAUL J; TURNER JR, FRANK L</t>
  </si>
  <si>
    <t>MCKENZIE, MARLA; MCKENZIE, MILDRED</t>
  </si>
  <si>
    <t>4815 CHESTNUT STREET</t>
  </si>
  <si>
    <t>PRSDE - PRAEC/SETTLE DISCONTINUE END: SETTLED VIA S D &amp; E PRAECIPE FILED. (FILED ON BEHALF OF PHILADELPHIA CONSERVATORSHIP ASSOCIATION INC)
ENTRY OF APPEARANCE FILED ON BEHALF OF PHILADELPHIA CONSERVATORSHIP ASSOCIATION INC.</t>
  </si>
  <si>
    <t>2014-08-14 16:19:00</t>
  </si>
  <si>
    <t>ROBINSON VS SANCHEZ ETAL</t>
  </si>
  <si>
    <t>ROBINSON, JUDY</t>
  </si>
  <si>
    <t>SANCHEZ, CARLOS</t>
  </si>
  <si>
    <t>327 W GIRARD AVENUE</t>
  </si>
  <si>
    <t>PRSDE - PRAEC/SETTLE DISCONTINUE END: SETTLED VIA S D &amp; E PRAECIPE FILED. (FILED ON BEHALF OF JUDY ROBINSON)</t>
  </si>
  <si>
    <t>2023-06-29 14:56:00</t>
  </si>
  <si>
    <t>FISHTOWN KENSINGTON AREA BUSINESS IMPROVEMENT DIST</t>
  </si>
  <si>
    <t>FISHTOWN KENSINGTON AREA BUSINESS IMPROVEMENT DISTRICT INC</t>
  </si>
  <si>
    <t>POMROY, DENISE; POMROY, JAMIE; POMROY, MICHELLE; POMROY, RONALD; UNKNOWN HEIRS OF EDWARD J POMROY,; UNKNOWN HEIRS OF SANDRA M POMROY,</t>
  </si>
  <si>
    <t>1500 FRANKFORD AVENUE</t>
  </si>
  <si>
    <t>MTASN - MOTION ASSIGNED: 73-23065973 PET-APPT CONSERVATOR-ACT 135 ASSIGNED TO JUDGE: JUDGE, CONSERVATORSHIP . ON DATE: JUNE 30, 2023</t>
  </si>
  <si>
    <t>2020-10-27 15:33:00</t>
  </si>
  <si>
    <t>41 BROWN, LLC VS FRIENDS REHABILITATION PROGRAM, I</t>
  </si>
  <si>
    <t>41 BROWN LLC</t>
  </si>
  <si>
    <t>FRIENDS REHABILITATION PROGRAM INC</t>
  </si>
  <si>
    <t>FARRIS, NATHANAEL CLARK; GEST, DAVID M; HAZLETT, THOMAS W; SKLAROFF, MICHAEL</t>
  </si>
  <si>
    <t>862-72 N 41ST STREET</t>
  </si>
  <si>
    <t>062254100</t>
  </si>
  <si>
    <t>PRSDE - PRAEC/SETTLE DISCONTINUE END: SETTLED VIA S D &amp; E PRAECIPE FILED. (FILED ON BEHALF OF 41 BROWN LLC)</t>
  </si>
  <si>
    <t>2017-06-09 12:33:00</t>
  </si>
  <si>
    <t xml:space="preserve">SCIOLI TURCO, INC. VS THE ESTATE OF ROBERTA PEARO </t>
  </si>
  <si>
    <t>ALL UNKNOWN HEIRS; PEARO ESTATE OF, ROBERTA</t>
  </si>
  <si>
    <t>1918 E HAZZARD STREET</t>
  </si>
  <si>
    <t>LISPR - RELEASE OF LIS PENDENS FILED: PRAECIPE TO RELEASE LIS PENDENS AS TO PREMISES 1918 E HAZZARD, PHILADELPHIA FILED. (FILED ON BEHALF OF SCIOLI TURCO, INC.)</t>
  </si>
  <si>
    <t>2015-06-20 11:40:00</t>
  </si>
  <si>
    <t>MAYFAIR COMMUNITY DEVELOPMENT CORPORATION VS ESTAT</t>
  </si>
  <si>
    <t>MAYFAIR COMMUNITY DEVELOPMENT CORPORATION</t>
  </si>
  <si>
    <t>MAGGINIS ESTATE OF, ELIZABETH P</t>
  </si>
  <si>
    <t>3318 BLEIGH AVENUE</t>
  </si>
  <si>
    <t>2023-05-12 13:15:00</t>
  </si>
  <si>
    <t>SCIOLI TURCO, INC. VS CARLSON ETAL</t>
  </si>
  <si>
    <t>ANY UNKNOWN HEIRS; CARLSON, CONSTANCE J; CARLSON, GEORGE H</t>
  </si>
  <si>
    <t>2910 S SMEDLEY STREET</t>
  </si>
  <si>
    <t>LISPN - LIS PENDENS FILED: CERTIFICATION THAT THIS ACTION INVOLVES TITLE TO REAL ESTATE. PRAECIPE TO INDEX LIS PENDENS AS TO PREMISES 2910 S SMEDLEY STREET, PHILADELPHIA.</t>
  </si>
  <si>
    <t>2023-09-29 15:38:00</t>
  </si>
  <si>
    <t>THE UNKNOWN HEIRS OF MARGARET E. MERKE</t>
  </si>
  <si>
    <t>6024 E WISTER STREET</t>
  </si>
  <si>
    <t>LISPN - LIS PENDENS FILED: CERTIFICATION THAT THIS ACTION INVOLVES TITLE TO REAL ESTATE. PRAECIPE TO INDEX LIS PENDENS AS TO PREMISES 6024 E WISTER STREET, PHILADELPHIA.</t>
  </si>
  <si>
    <t>2021-10-15 14:01:00</t>
  </si>
  <si>
    <t>41 BROWN, LLC VS THOMAS ETAL</t>
  </si>
  <si>
    <t>THOMAS, RODGER</t>
  </si>
  <si>
    <t>BROWNING, DEON; ZIMMERMAN, JUSTIN</t>
  </si>
  <si>
    <t>817 N 41ST STREET</t>
  </si>
  <si>
    <t>062243800</t>
  </si>
  <si>
    <t>M0462 - LISTED-STAT CONF CONSERVATOR: 79-21102879 STATUS HEARING SCHEDULED FOR 11/8/2023 AT 11:30 A.M. VIA ZOOM.</t>
  </si>
  <si>
    <t>2017-03-29 15:05:00</t>
  </si>
  <si>
    <t>KTS PROPERTIES I LLC VS HENRY ETAL</t>
  </si>
  <si>
    <t>KTS PROPERTIES I LLC</t>
  </si>
  <si>
    <t>ANDERSON, COLVILLE ANTHONY; HENRY, PATRICE</t>
  </si>
  <si>
    <t>MCGARRITY, JAMES P</t>
  </si>
  <si>
    <t>818 S 51ST STREET</t>
  </si>
  <si>
    <t>ZR236 - NOTICE GIVEN UNDER RULE 236: NOTICE GIVEN ON 28-JUN-2018 OF ORDER ENTERED/236 NOTICE GIVEN ENTERED ON 27-JUN-2018.</t>
  </si>
  <si>
    <t>2016-08-08 17:06:00</t>
  </si>
  <si>
    <t>MT. AIRY USA VS REID ETAL</t>
  </si>
  <si>
    <t>MT. AIRY USA</t>
  </si>
  <si>
    <t>CAMERON 316, ROGER P; LEVY-TATUM, JENNIFER W</t>
  </si>
  <si>
    <t>REID, EVELYN LEVY</t>
  </si>
  <si>
    <t>118 E PHIL ELLENA STREET</t>
  </si>
  <si>
    <t>ZR236 - NOTICE GIVEN UNDER RULE 236: NOTICE GIVEN ON 09-OCT-2018 OF ORDER ENTERED/236 NOTICE GIVEN ENTERED ON 05-OCT-2018.</t>
  </si>
  <si>
    <t>2022-11-02 11:57:00</t>
  </si>
  <si>
    <t>HUSSEIN, RAZAN; UNKNOWN HEIRS OF SAMUEL WILMER HARRIS</t>
  </si>
  <si>
    <t>CHUNG, PAUL; COATES, PATRICIA S</t>
  </si>
  <si>
    <t>1826 N 27TH STREET</t>
  </si>
  <si>
    <t>M0462 - LISTED-STAT CONF CONSERVATOR: 53-22110453 STATUS HEARING SCHEDULED FOR 8/7/2023 AT 1:30 P.M. IN COURTROOM 453, CITY HALL.</t>
  </si>
  <si>
    <t>2017-01-17 11:33:00</t>
  </si>
  <si>
    <t>MORITZ VS WILLIAMS ETAL</t>
  </si>
  <si>
    <t>MORITZ, RUSSELL</t>
  </si>
  <si>
    <t>WILLIAMS, MARSHALL L</t>
  </si>
  <si>
    <t>4939 CHESTNUT STREET</t>
  </si>
  <si>
    <t>ZR236 - NOTICE GIVEN UNDER RULE 236: NOTICE GIVEN ON 11-SEP-2017 OF ORDER ENTERED - FINAL DISPOS ENTERED ON 08-SEP-2017.</t>
  </si>
  <si>
    <t>2018-06-27 17:47:00</t>
  </si>
  <si>
    <t>GLOBAL GIVINGS DEVELOPMENT CORPORATION VS HOLLOMAN</t>
  </si>
  <si>
    <t>HOLLOMAN, RENEE M</t>
  </si>
  <si>
    <t>RIGMAIDEN-DELEON, MARILYN A</t>
  </si>
  <si>
    <t>716-18 S 51ST STREET</t>
  </si>
  <si>
    <t>M0378 - CORRECTION TO JUDGMENT INDEX: CORRECTION TO LOCALITY INDEX: LIS PENDENS ON THE PROPERTY LOCATED AT 716-18 SOUTH 51ST STREET IS LIFTED PRUSUANT TO COURT ORDER DATED 1/7/19. INDEX UPDATED ON 3/25/19.</t>
  </si>
  <si>
    <t>2015-04-29 09:30:00</t>
  </si>
  <si>
    <t>SCIOLI TURCO, INC. VS WOOTEN ETAL</t>
  </si>
  <si>
    <t>MEYER, GEORGE; WILLIAMS, DELLA; WOOTEN, BENJAMIN</t>
  </si>
  <si>
    <t>1214 S 17TH STREET</t>
  </si>
  <si>
    <t>ORDRF - ORDER ENTERED - FINAL DISPOS: SEE FINAL ORDER DATED 5/14/2015.   JPE/CAO 2/8/2016</t>
  </si>
  <si>
    <t>2022-09-12 15:54:00</t>
  </si>
  <si>
    <t>UNKNOWN HEIRS OF BRUNETTE AUSTIN</t>
  </si>
  <si>
    <t>2440 RIDGE AVENUE</t>
  </si>
  <si>
    <t>MAILR - RETURNED MAIL RECEIVED: RETURNED MAIL ORDER DATED 07/24/23 AS UNDELIVERABLE AT THE ADDRESS ON FILE WITH THE COURT TO THE FOLLOWING PARTY: UNKNOWN HEIRS OF BRUNETTE AUSTIN.</t>
  </si>
  <si>
    <t>2018-01-22 17:52:00</t>
  </si>
  <si>
    <t>CASABLANCA INVESTORS LLC VS THE ESTATE OF HATTIE D</t>
  </si>
  <si>
    <t>CASABLANCA INVESTORS LLC</t>
  </si>
  <si>
    <t>ALL UNKNOWN HEIRS; DRAIN ESTATE OF, HATTIE; DRAIN, JAMES M; HELLER, LAMONT M</t>
  </si>
  <si>
    <t>3616 HAVERFORD AVENUE</t>
  </si>
  <si>
    <t>MAILR - RETURNED MAIL RECEIVED: RETURNED MAIL ORDER DATED 02/16/22 AS UNDELIVERABLE AT THE ADDRESS ON FILE WITH THE COURT TO THE FOLLOWING PARTY: ALL UNKNOWN HEIRS.</t>
  </si>
  <si>
    <t>2023-04-25 15:08:00</t>
  </si>
  <si>
    <t>PHILADEPHIA COMMUNITY GROWTH VS TAYLOR ETAL</t>
  </si>
  <si>
    <t>PHILADEPHIA COMMUNITY GROWTH</t>
  </si>
  <si>
    <t>SMITH, LEONARD; TAYLOR, JOSEPHINE</t>
  </si>
  <si>
    <t>714 N 42ND</t>
  </si>
  <si>
    <t>061250000</t>
  </si>
  <si>
    <t>M0442 - PET-APPT CONSERVATOR-ACT 135: 98-23044798 PET-APPT CONSERVATOR-ACT 135 (FILED ON BEHALF OF PHILADEPHIA COMMUNITY GROWTH.)</t>
  </si>
  <si>
    <t>2021-12-30 17:00:00</t>
  </si>
  <si>
    <t>SCIOLI TURCO, INC. VS GIBBY ETAL</t>
  </si>
  <si>
    <t>ALL UNKNOWN HEIRS; GIBBY, BRUCE WARD</t>
  </si>
  <si>
    <t>WHITE, LEO T</t>
  </si>
  <si>
    <t>5112-5114 GERMANTOWN AVENUE</t>
  </si>
  <si>
    <t>ENAPP - ENTRY OF APPEARANCE: ENTRY OF APPEARANCE OF DEVIN N UQDAH FILED. (FILED ON BEHALF OF CHRISTOPHER JACKSON)</t>
  </si>
  <si>
    <t>2019-01-11 15:35:00</t>
  </si>
  <si>
    <t>COMMONWEALTH PRESERVATION ALLIANCE, INC. VS DESANT</t>
  </si>
  <si>
    <t>MCILHINNEY, MICHAEL P; PECORA ESQ, JOSEPH; TONER, PAUL J</t>
  </si>
  <si>
    <t>DOMOWITCH, ALLISON L</t>
  </si>
  <si>
    <t>PRSDE - PRAEC/SETTLE DISCONTINUE END: SETTLED VIA S D &amp; E PRAECIPE FILED. (FILED ON BEHALF OF COMMONWEALTH PRESERVATION ALLIANCE INC)</t>
  </si>
  <si>
    <t>2019-04-18 16:12:00</t>
  </si>
  <si>
    <t>SCIOLI TURCO, INC VS ABI-SALLOUM ETAL</t>
  </si>
  <si>
    <t>ABI-SALLOUM, ANTOINE</t>
  </si>
  <si>
    <t>WARD, SHAWN D</t>
  </si>
  <si>
    <t>923 FEDERAL STREET</t>
  </si>
  <si>
    <t>021245400</t>
  </si>
  <si>
    <t>ZR236 - NOTICE GIVEN UNDER RULE 236: NOTICE GIVEN ON 05-APR-2021 OF ORDER ENTERED - FINAL DISPOS ENTERED ON 05-APR-2021.</t>
  </si>
  <si>
    <t>2022-12-08 15:53:00</t>
  </si>
  <si>
    <t>1537 TULPEHOCKEN, LLC VS WILLIAMS-HAND ETAL</t>
  </si>
  <si>
    <t>WILLIAMS-HAND, BEVERLY</t>
  </si>
  <si>
    <t>659 UNION STREET</t>
  </si>
  <si>
    <t>M0462 - LISTED-STAT CONF CONSERVATOR: 54-22121854 STATUS HEARING SCHEDULED FOR 7/10/2023 AT 2:30 P.M. IN COURTROOM 453, CITY HALL.</t>
  </si>
  <si>
    <t>2019-07-03 18:32:00</t>
  </si>
  <si>
    <t xml:space="preserve">PHILADELPHIA COMMUNITY DEVELOPMENT COALITION, INC </t>
  </si>
  <si>
    <t>RODRIGUEZ, ANGEL</t>
  </si>
  <si>
    <t>1826 N MARSTON STREET</t>
  </si>
  <si>
    <t>MAILR - RETURNED MAIL RECEIVED: RETURNED MAIL ORDER DATED 08/20/20 AS UNDELIVERABLE AT THE ADDRESS ON FILE WITH THE COURT TO THE FOLLOWING PARTY: PHILADELPHIA TRAFFIC COURT.</t>
  </si>
  <si>
    <t>2017-05-22 13:49:00</t>
  </si>
  <si>
    <t>MT. AIRY USA VS MAYNARD ETAL</t>
  </si>
  <si>
    <t>BINDER, BRET M; CAMERON 316, ROGER P; LEVY-TATUM, JENNIFER W</t>
  </si>
  <si>
    <t>FUREY, NORA M; MAYNARD, MAURICE J</t>
  </si>
  <si>
    <t>MONROE 410, MATTHEW C</t>
  </si>
  <si>
    <t>142 W ALLENS LANE</t>
  </si>
  <si>
    <t>092076005</t>
  </si>
  <si>
    <t>LISPR - RELEASE OF LIS PENDENS FILED: PRAECIPE TO RELEASE LIS PENDENS AS TO PREMISES 142 W ALLENS LANE, PHILADELPHIA FILED. (FILED ON BEHALF OF MT. AIRY USA)</t>
  </si>
  <si>
    <t>2019-09-17 12:20:00</t>
  </si>
  <si>
    <t>PA NEIGHBORHOOD DEVELOPMENT PARTNERSHIP VS SIMMONS</t>
  </si>
  <si>
    <t>CARR, PETER; SORATHIA, ALEENA Y</t>
  </si>
  <si>
    <t>SIMMONS YOUTH DEVELOPMENT GUILD</t>
  </si>
  <si>
    <t>DUCLAIR, ANDREW M</t>
  </si>
  <si>
    <t>1235 N MYRTLEWOOD STREET</t>
  </si>
  <si>
    <t>LISPR - RELEASE OF LIS PENDENS FILED: PRAECIPE TO RELEASE LIS PENDENS AS TO PREMISES 1235 N MYRTLEWOOD STREET, PHILADELPHIA FILED. (FILED ON BEHALF OF PA NEIGHBORHOOD DEVELOPMENT PARTNERSHIP)</t>
  </si>
  <si>
    <t>2022-12-09 16:49:00</t>
  </si>
  <si>
    <t>CORE 7 COMMUNITY DEVELOPMENT CORPORATION VS SELFMA</t>
  </si>
  <si>
    <t>CORE 7 COMMUNITY DEVELOPMENT CORPORATION</t>
  </si>
  <si>
    <t>ROBERSON, DOUGLAS; SELFMADE INC</t>
  </si>
  <si>
    <t>1932 W ONTARIO STREET</t>
  </si>
  <si>
    <t>M0462 - LISTED-STAT CONF CONSERVATOR</t>
  </si>
  <si>
    <t>2014-03-18 13:17:00</t>
  </si>
  <si>
    <t>GLY INVESTMENTS LLC VS PRESTON STREET PROPERTIES,</t>
  </si>
  <si>
    <t>GLY INVESTMENTS LLC</t>
  </si>
  <si>
    <t>RABINOVICH, JASON L</t>
  </si>
  <si>
    <t>PRESTON STREET PROPERTIES LLC</t>
  </si>
  <si>
    <t>DINATALE, LORENZO</t>
  </si>
  <si>
    <t>528-34 N PRESTON STREET</t>
  </si>
  <si>
    <t>061195500</t>
  </si>
  <si>
    <t>DISPO - DISPOSED -  CASE CLOSED: 91-14032391 PRAECIPE TO WITHDRAW PET-APPT CONSERVATOR-ACT 135 FILED. (FILED ON BEHALF OF GLY INVESTMENTS LLC)</t>
  </si>
  <si>
    <t>2023-12-01 13:37:00</t>
  </si>
  <si>
    <t>SCIOLI TURCO, INC. VS KHEM, LLC ETAL</t>
  </si>
  <si>
    <t>KHEM LLC</t>
  </si>
  <si>
    <t>5555 WHITBY AVENUE</t>
  </si>
  <si>
    <t>M0462 - LISTED-STAT CONF CONSERVATOR: 74-23120274 STATUS CONFERENCE SCHEDULED FOR 1/5/2024 AT 2:30 P.M. VIA ZOOM</t>
  </si>
  <si>
    <t>2016-05-11 23:26:00</t>
  </si>
  <si>
    <t>SPAK GROUP, LLC VS ARRENDONDO PAULINO ETAL</t>
  </si>
  <si>
    <t>LEE, IVAN E</t>
  </si>
  <si>
    <t>ARRENDONDO PAULINO, PABLO</t>
  </si>
  <si>
    <t>DAVIS, WILLIAM M</t>
  </si>
  <si>
    <t>61 N 52ND STREET</t>
  </si>
  <si>
    <t>ZR236 - NOTICE GIVEN UNDER RULE 236: NOTICE GIVEN ON 15-NOV-2016 OF ORDER ENTERED - FINAL DISPOS ENTERED ON 15-NOV-2016.</t>
  </si>
  <si>
    <t>2014-04-04 16:22:00</t>
  </si>
  <si>
    <t>1938 68TH STREET</t>
  </si>
  <si>
    <t>ZR236 - NOTICE GIVEN UNDER RULE 236: NOTICE GIVEN ON 25-APR-2014 OF ORDER ENTERED - FINAL DISPOS ENTERED ON 25-APR-2014.</t>
  </si>
  <si>
    <t>2022-07-20 13:24:00</t>
  </si>
  <si>
    <t>UNKNOWN HEIRS OF THELMA HOGAN</t>
  </si>
  <si>
    <t>1644 ANNIN STREET</t>
  </si>
  <si>
    <t>2023-04-11 14:39:00</t>
  </si>
  <si>
    <t>HARDIMON CAPITAL INVESTMENTS, LLC VS ALEA PROPERTY</t>
  </si>
  <si>
    <t>HARDIMON CAPITAL INVESTMENTS LLC</t>
  </si>
  <si>
    <t>ALEA PROPERTY MANAGEMENT</t>
  </si>
  <si>
    <t>PLATT, MONICA C</t>
  </si>
  <si>
    <t>3638 N 19TH STREET</t>
  </si>
  <si>
    <t>M0462 - LISTED-STAT CONF CONSERVATOR: 16-23041916 STATUS HEARING SCHEDULED FOR 9/11/2023 AT 9:30 A.M. VIA ZOOM</t>
  </si>
  <si>
    <t>2023-11-28 15:47:00</t>
  </si>
  <si>
    <t>JAMAR VS BULLOCK ETAL</t>
  </si>
  <si>
    <t>JAMAR, WILLIAMS G</t>
  </si>
  <si>
    <t>BULLOCK, WILLIAM</t>
  </si>
  <si>
    <t>3609 FAIRMOUNT AVE</t>
  </si>
  <si>
    <t>MTASN - MOTION ASSIGNED: 32-23115732 PET-APPT CONSERVATOR-ACT 135 ASSIGNED TO JUDGE: JUDGE, CONSERVATORSHIP . ON DATE: NOVEMBER 30, 2023</t>
  </si>
  <si>
    <t>2017-03-15 18:45:00</t>
  </si>
  <si>
    <t>FERRERO, LOUIS N</t>
  </si>
  <si>
    <t>525 N 20TH STREET</t>
  </si>
  <si>
    <t>084139900</t>
  </si>
  <si>
    <t>PRSDE - PRAEC/SETTLE DISCONTINUE END: SETTLED VIA S D &amp; E PRAECIPE FILED. (FILED ON BEHALF OF PHILADELPHIA COMMUNITY DEVELOPMENT COALITION, INC.)</t>
  </si>
  <si>
    <t>2021-05-07 15:52:00</t>
  </si>
  <si>
    <t xml:space="preserve">PA NEIGHBORHOOD DEVELOPMENT PARTNERSHIP VS NACHAS </t>
  </si>
  <si>
    <t>NACHAS REALTY LLC</t>
  </si>
  <si>
    <t>1423 MCFERRAN</t>
  </si>
  <si>
    <t>MAILR - RETURNED MAIL RECEIVED: RETURNED MAIL ORDER DATED 28-JUL-2022 AS UNDELIVERABLE AT THE ADDRESS ON FILE WITH THE COURT TO THE FOLLOWING PARTY: NACHAS REALTY LLC.</t>
  </si>
  <si>
    <t>2015-07-30 11:21:00</t>
  </si>
  <si>
    <t xml:space="preserve">SARTAIN MANAGEMENT PARTNERS, LP VS P&amp;A AFFORDABLE </t>
  </si>
  <si>
    <t>SARTAIN MANAGEMENT PARTNERS LP</t>
  </si>
  <si>
    <t>ABRAMS, WILLIE; P&amp;A AFFORDABLE HOMES CORPORATION, C/O AGENTS AND CORPORATION</t>
  </si>
  <si>
    <t>SMITH, DAVID</t>
  </si>
  <si>
    <t>3008 W CABOT STREET</t>
  </si>
  <si>
    <t>ORDRF - ORDER ENTERED - FINAL DISPOS: SEE ORDER DATED 1/13/2016 BY JUDGE NEW.   JPE/CAO</t>
  </si>
  <si>
    <t>2017-01-31 18:02:00</t>
  </si>
  <si>
    <t>MT. AIRY USA VS ROSS ETAL</t>
  </si>
  <si>
    <t>BINDER, BRET M</t>
  </si>
  <si>
    <t>ROSS, ELGLINA</t>
  </si>
  <si>
    <t>129 E POMONA STREET</t>
  </si>
  <si>
    <t>ZRDSC - PRAECIPE TO DISCONTINUE: ORDER TO DISCONTINUE WITHOUT PREJUDICE FILED. (FILED ON BEHALF OF MT. AIRY USA)</t>
  </si>
  <si>
    <t>2013-05-20 11:38:00</t>
  </si>
  <si>
    <t>LEVY VS UNIVERSAL HOMES CORPORATION ETAL</t>
  </si>
  <si>
    <t>LEVY, JUAN D</t>
  </si>
  <si>
    <t>UNIVERSAL HOMES CORPORATION</t>
  </si>
  <si>
    <t>ISLAM, MUMIN; MCELHATTON, DANIEL P; MOSHINSKI, DEBRA A; REUTER, LEONARD F</t>
  </si>
  <si>
    <t>1524-34 SOUTH STREET</t>
  </si>
  <si>
    <t>ZRDSC - PRAECIPE TO DISCONTINUE: ORDER TO DISCONTINUE WITHOUT PREJUDICE FILED. (FILED ON BEHALF OF JUAN D LEVY)</t>
  </si>
  <si>
    <t>2013-03-15 17:32:00</t>
  </si>
  <si>
    <t>SCIOLI TURCO, INC. VS RUSSELL ETAL</t>
  </si>
  <si>
    <t>RUSSELL, JENNIE</t>
  </si>
  <si>
    <t>MARTIN, MARY-KATE; ZWOLAK, JAMES J</t>
  </si>
  <si>
    <t>816 S 19TH STREET</t>
  </si>
  <si>
    <t>ENAPP - ENTRY OF APPEARANCE: ENTRY OF APPEARANCE OF MARY-KATE MARTIN FILED. (FILED ON BEHALF OF CITY OF PHILADELPHIA)</t>
  </si>
  <si>
    <t>2021-12-30 18:31:00</t>
  </si>
  <si>
    <t>JPA HOLDINGS, LLC VS EARL PROPERTIES, LLC ETAL</t>
  </si>
  <si>
    <t>JPA HOLDINGS LLC</t>
  </si>
  <si>
    <t>EARL PROPERTIES LLC</t>
  </si>
  <si>
    <t>ROTHMAN, SCOTT M</t>
  </si>
  <si>
    <t>2026 CARPENTER STREET</t>
  </si>
  <si>
    <t>PRSDE - PRAEC/SETTLE DISCONTINUE END: SETTLED VIA S D &amp; E PRAECIPE FILED. (FILED ON BEHALF OF JPA HOLDINGS LLC)</t>
  </si>
  <si>
    <t>2018-06-07 17:33:00</t>
  </si>
  <si>
    <t>GARDNER, CAROLINE A; MCILHINNEY, MICHAEL P</t>
  </si>
  <si>
    <t>CORNERSTONE PA FLIP PROPERTIES LLC</t>
  </si>
  <si>
    <t>DAIELLO JR, MICHAEL L</t>
  </si>
  <si>
    <t>1844 WILDER STREET</t>
  </si>
  <si>
    <t>2021-11-09 14:59:00</t>
  </si>
  <si>
    <t>SOUTHWEST COMMUNITY DEVELOPMENT CORPORATION VS MAT</t>
  </si>
  <si>
    <t>SOUTHWEST COMMUNITY DEVELOPMENT CORPORATION</t>
  </si>
  <si>
    <t>MATTAWAY, SAMUEL</t>
  </si>
  <si>
    <t>HARRIS, JERMAINE</t>
  </si>
  <si>
    <t>5427 CATHERINE STREET</t>
  </si>
  <si>
    <t>PRSDE - PRAEC/SETTLE DISCONTINUE END: SETTLED VIA S D &amp; E PRAECIPE FILED. (FILED ON BEHALF OF SOUTHWEST COMMUNITY DEVELOPMENT CORPORATION)</t>
  </si>
  <si>
    <t>2023-12-12 15:22:00</t>
  </si>
  <si>
    <t>JAMAR VS QUANT ETAL</t>
  </si>
  <si>
    <t>QUANT, MARIO</t>
  </si>
  <si>
    <t>3832 LANCASTER AVE</t>
  </si>
  <si>
    <t>MTASN - MOTION ASSIGNED: 53-23122853 PET-APPT CONSERVATOR-ACT 135 ASSIGNED TO JUDGE: JUDGE, CONSERVATORSHIP . ON DATE: DECEMBER 15, 2023</t>
  </si>
  <si>
    <t>2021-03-24 10:58:00</t>
  </si>
  <si>
    <t>ORDST - STAYED BY ORDER OF COURT</t>
  </si>
  <si>
    <t>COATES, GERALDINE; OUTLAW, BUFUS; OUTLAW, GRACIOUS; OUTLAW, MELLON; OUTLAW, PATRICIA; OUTLAW, VERONICA; UNKNOWN HEIRS OF BUFUS OUTLAW; UNKNOWN HEIRS OF DARCELES OUTLAW; UNKNOWN HEIRS OF GEORGE OUTLAW; UNKNOWN HEIRS OF GERALDINE COATES; UNKNOWN HEIRS OF MELLON OUTLAW; UNKNOWN HEIRS OF PATRICIA OUTLAW; UNKNOWN HEIRS OF WILHEMIA MCCULLUM; UNKNOWN HEIRS OF WILLE MAE HANNAH</t>
  </si>
  <si>
    <t>2624 OAKFORD STREET</t>
  </si>
  <si>
    <t>MAILR - RETURNED MAIL RECEIVED: RETURNED MAIL ORDER DATED 03/14/22 AS UNDELIVERABLE AT THE ADDRESS ON FILE WITH THE COURT TO THE FOLLOWING PARTY: UNKNOWN HEIRS OF WILLIE MAE HANNAH.</t>
  </si>
  <si>
    <t>2019-11-24 17:41:00</t>
  </si>
  <si>
    <t>WHITE III ADMINISTRATOR OF ESTATE OF HADDIE C WHITE, CHARLES E; WHITE III TRUSTEE, CHARLES E</t>
  </si>
  <si>
    <t>PEASE MR., CLARK W</t>
  </si>
  <si>
    <t>2227-31 N 52ND STREET</t>
  </si>
  <si>
    <t>ZR236 - NOTICE GIVEN UNDER RULE 236: NOTICE GIVEN ON 17-SEP-2021 OF ORDER ENTERED - FINAL DISPOS ENTERED ON 17-SEP-2021.</t>
  </si>
  <si>
    <t>2014-08-08 16:46:00</t>
  </si>
  <si>
    <t>ACKELSBERG ETAL VS SOEHNGEN ETAL</t>
  </si>
  <si>
    <t>WSPTJ - SETTLED PRIOR TO ASSGN TRL JUD</t>
  </si>
  <si>
    <t>ACKELSBERG, IRV; UREVICK, PATRICIA A</t>
  </si>
  <si>
    <t>ACKELSBERG, IRV</t>
  </si>
  <si>
    <t>SOEHNGEN, JAN</t>
  </si>
  <si>
    <t>MARTIN, MARY-KATE; WEISGOLD, DEAN E</t>
  </si>
  <si>
    <t>5025 SCHUYLER STREET</t>
  </si>
  <si>
    <t>LISPR - RELEASE OF LIS PENDENS FILED: PRAECIPE TO RELEASE LIS PENDENS AS TO PREMISES 5025 SCHUYLER STREET, PHILADELPHIA FILED. (FILED ON BEHALF OF JAN SOEHNGEN)</t>
  </si>
  <si>
    <t>2016-03-07 10:20:00</t>
  </si>
  <si>
    <t>MORITZ VS MCNAIR ETAL</t>
  </si>
  <si>
    <t>MCNAIR, SHERFON</t>
  </si>
  <si>
    <t>BOLDEN, STEPHEN R; LIPUMA, MICHAEL D</t>
  </si>
  <si>
    <t>538 S 51ST ST</t>
  </si>
  <si>
    <t>APDSM - APPEAL DISMISSED/APPELLAT CT: AT 1746 EDA 2016.......1/6/17  PER CURIAM</t>
  </si>
  <si>
    <t>2022-07-29 11:13:00</t>
  </si>
  <si>
    <t>UNKNOWN HEIRS OF ROBERT ABRAMS</t>
  </si>
  <si>
    <t>3135 W NORRIS STREET</t>
  </si>
  <si>
    <t>MAILR - RETURNED MAIL RECEIVED: RETURNED MAIL ORDER DATED 4/6/23 AS UNDELIVERABLE AT THE ADDRESS ON FILE WITH THE COURT TO THE FOLLOWING PARTY: UNKNOWN HEIRS OF ROBERT ABRAMS.</t>
  </si>
  <si>
    <t>2023-03-09 11:50:00</t>
  </si>
  <si>
    <t>HARDIMON CAPITAL INVESTMENTS, LLC VS KEEPING IT RE</t>
  </si>
  <si>
    <t>PECORA ESQ, JOSEPH; WOLFE, KAREN L</t>
  </si>
  <si>
    <t>KEEPING IT REAL ESTATE LLC</t>
  </si>
  <si>
    <t>BUCKLEY JR, PETER C; EISENTROUT, ROBERT H</t>
  </si>
  <si>
    <t>3627 N 19TH</t>
  </si>
  <si>
    <t>ENAPP - ENTRY OF APPEARANCE: ENTRY OF APPEARANCE OF ROBERT H EISENTROUT FILED. (FILED ON BEHALF OF KEEPING IT REAL ESTATE LLC)</t>
  </si>
  <si>
    <t>2017-06-26 18:48:00</t>
  </si>
  <si>
    <t>HILL VS OLIVER ETAL</t>
  </si>
  <si>
    <t>1332 NORTH SEVENTEENTH STREET LLC; HAZEL, UNKNOWN HEIRS; MOORE, DENNITA; OLIVER, CHARLES P; OLIVER, COREY; OLIVER JR., HERBERT; ORTIZ, HAFIZ</t>
  </si>
  <si>
    <t>DIGIORGIO, JOHN S; QUINN JD, ANTHONY B</t>
  </si>
  <si>
    <t>MAILR - RETURNED MAIL RECEIVED: RETURNED MAIL ORDER DATED 08/19/19 AS UNDELIVERABLE AT THE ADDRESS ON FILE WITH THE COURT TO THE FOLLOWING PARTY: HAFIZ ORTIZ.</t>
  </si>
  <si>
    <t>2013-08-07 21:49:00</t>
  </si>
  <si>
    <t>MAYFAIR COMMUNITY CORP VS CHADWICK ETAL</t>
  </si>
  <si>
    <t>MAYFAIR COMMUNITY DEVELOPMENT CORPORATION; SCIOLI TURCO INC</t>
  </si>
  <si>
    <t>CHADWICK, EILEEN</t>
  </si>
  <si>
    <t>3446 RYAN AVENUE</t>
  </si>
  <si>
    <t>MTHRS - MOTION HEARING SCHEDULED</t>
  </si>
  <si>
    <t>2020-03-02 10:22:00</t>
  </si>
  <si>
    <t>SCIOLI TURCO, INC VS DO ETAL</t>
  </si>
  <si>
    <t>DO, BINH VAN</t>
  </si>
  <si>
    <t>LAMBERT ESQUIRE, MICHAEL CHRISTOPHER</t>
  </si>
  <si>
    <t>6809 TORRESDALE</t>
  </si>
  <si>
    <t>081105750</t>
  </si>
  <si>
    <t>ZR236 - NOTICE GIVEN UNDER RULE 236: NOTICE GIVEN ON 26-FEB-2021 OF ORDER ENTERED - FINAL DISPOS ENTERED ON 25-FEB-2021.</t>
  </si>
  <si>
    <t>2015-04-21 14:20:00</t>
  </si>
  <si>
    <t>CHAMPAGNE VS MANDAN ETAL</t>
  </si>
  <si>
    <t>CHAMPAGNE, DAVID</t>
  </si>
  <si>
    <t>BENNETT III, FRANKLIN A; MCILHINNEY, MICHAEL P; TONER, PAUL J</t>
  </si>
  <si>
    <t>MANDAN, MICHAEL E</t>
  </si>
  <si>
    <t>KRIK, JUSTIN L; MARTIN, MARY-KATE</t>
  </si>
  <si>
    <t>823 CORINTHIAN AVENUE</t>
  </si>
  <si>
    <t>ORDER - ORDER ENTERED/236 NOTICE GIVEN: 77-15043077    AND NOW, THIS 21ST DAY OF APRIL, 2016, PURSUANT TO THE REQUEST OF THE PETITIONER THE ABOVE CAPTIONED MATTER IS DISCONTINUED.  BY THE COURT:  FOX, J.  4/21/16.</t>
  </si>
  <si>
    <t>2016-04-12 18:06:00</t>
  </si>
  <si>
    <t>SCIOLI TURCO, INC. VS GNE PROPERTIES II, INC. ETAL</t>
  </si>
  <si>
    <t>GNE PROPERTIES II INC</t>
  </si>
  <si>
    <t>2634 E THOMPSON ST</t>
  </si>
  <si>
    <t>LISPR - RELEASE OF LIS PENDENS FILED: PRAECIPE TO RELEASE LIS PENDENS AS TO PREMISES 2634 E THOMPSON STREET, PHILADELPHIA FILED. (FILED ON BEHALF OF SCIOLI TURCO, INC.)</t>
  </si>
  <si>
    <t>2018-01-05 16:41:00</t>
  </si>
  <si>
    <t>GLOBAL HOLDINGS GREATER PHILADELPHIA VS PONTON ETA</t>
  </si>
  <si>
    <t>GLOBAL HOLDINGS GREATER PHILADELPHIA</t>
  </si>
  <si>
    <t>STEIN, JONATHAN E</t>
  </si>
  <si>
    <t>PONTON, MARLAND K</t>
  </si>
  <si>
    <t>DOUGHERTY, AMANDA J; HILL, WILLIAM T</t>
  </si>
  <si>
    <t>2231 PIERCE STREET</t>
  </si>
  <si>
    <t>M0378 - CORRECTION TO JUDGMENT INDEX: CORRECTION TO LOCALITY INDEX: LIS PENDENS VACATED PURSUANT TO COURT ORDER DATED 04/24/2018. INDEX UPDATED ON 04/30/2018</t>
  </si>
  <si>
    <t>2015-03-10 11:03:00</t>
  </si>
  <si>
    <t>HAPPYNEST HOLDINGS NONPROFIT COOP VS WRIGHT ETAL</t>
  </si>
  <si>
    <t>HAPPYNEST HOLDINGS NONPROFIT COOP</t>
  </si>
  <si>
    <t>WRIGHT, ERIC T</t>
  </si>
  <si>
    <t>1300 N 04TH STREET</t>
  </si>
  <si>
    <t>PRSDE - PRAEC/SETTLE DISCONTINUE END: SETTLED VIA S D &amp; E PRAECIPE FILED. (FILED ON BEHALF OF HAPPYNEST HOLDINGS NONPROFIT COOP)</t>
  </si>
  <si>
    <t>2017-11-27 10:23:00</t>
  </si>
  <si>
    <t>STSET - SETTLED BY STIPULATION</t>
  </si>
  <si>
    <t>SCHIMPF ADMINISTRATOR OF ESTATE OF ANNA GOODEMA, JOSEPH J</t>
  </si>
  <si>
    <t>BEAUVAIS, DARWIN R; FERLEGER, MEREDITH L; TANCREDI, DAWN M</t>
  </si>
  <si>
    <t>845-47 ALMOND STREET</t>
  </si>
  <si>
    <t>ORDMN - COURT ORDERED PAYOUT OF ESCROW: OLD CHECK #9204 IN THE AMOUNT OF $1,000.00 WAS VOIDED ON 7/29/2019. NEW CHECK #9377 IN THE AMOUNT OF $1,000.00 WAS RELEASED TO JOSEPH J SCHIMPF</t>
  </si>
  <si>
    <t>2022-10-20 10:25:00</t>
  </si>
  <si>
    <t>PHILADELPHIA CONSERVATORSHIP ASSOCIATION VS WILLIA</t>
  </si>
  <si>
    <t>PHILADELPHIA CONSERVATORSHIP ASSOCIATION</t>
  </si>
  <si>
    <t>MCILHINNEY, MICHAEL P; ROSS, ANDREW S; SALOMON GNECCO, ANDREA; TONER, PAUL J</t>
  </si>
  <si>
    <t>4939 CHESTNUT</t>
  </si>
  <si>
    <t>ENAPP - ENTRY OF APPEARANCE: ENTRY OF APPEARANCE OF ANDREA SALOMON GNECCO FILED. (FILED ON BEHALF OF PHILADELPHIA CONSERVATORSHIP ASSOCIATION)</t>
  </si>
  <si>
    <t>2021-09-24 11:53:00</t>
  </si>
  <si>
    <t>DENENBERG, DAVID H; PFIRRMAN, JOHN ROBERT; TONER, PAUL J</t>
  </si>
  <si>
    <t>MEDALLION INVESTMENTS INC</t>
  </si>
  <si>
    <t>BAZZELL, ERICA L</t>
  </si>
  <si>
    <t>3968 MOUNT VERNON STREET</t>
  </si>
  <si>
    <t>LISPR - RELEASE OF LIS PENDENS FILED: PRAECIPE TO RELEASE LIS PENDENS AS TO PREMISES 3968 MOUNT VERNON STREET, PHILADELPHIA, PA 19104 FILED.</t>
  </si>
  <si>
    <t>2020-05-01 17:44:00</t>
  </si>
  <si>
    <t>MT VERNON CEMETERY COMPANY</t>
  </si>
  <si>
    <t>3301 W LEHIGH AVENUE</t>
  </si>
  <si>
    <t>M0386 - TRIAL/HEARING EXHIBITS FILED: TRIAL/EVIDENTIARY HEARING EXHIBITS/EVIDENCE FILED.</t>
  </si>
  <si>
    <t>2019-07-31 09:01:00</t>
  </si>
  <si>
    <t>ALDERFER, SARAH; MCILHINNEY, MICHAEL P; TONER, PAUL J</t>
  </si>
  <si>
    <t>1524 RIDGE LLC; DONAHUE ADMINISTRATOR OF THE ESTATE OF MILLIE MAE DUNBAR, F SCOTT</t>
  </si>
  <si>
    <t>5200 OVERBOOK AVENUE</t>
  </si>
  <si>
    <t>ZR236 - NOTICE GIVEN UNDER RULE 236: NOTICE GIVEN ON 30-SEP-2020 OF ORDER ENTERED - FINAL DISPOS ENTERED ON 28-SEP-2020.</t>
  </si>
  <si>
    <t>2020-02-26 17:52:00</t>
  </si>
  <si>
    <t>ALDERFER, SARAH; MCILHINNEY, MICHAEL P</t>
  </si>
  <si>
    <t>ATL DEVELOPMENT CORPORATION</t>
  </si>
  <si>
    <t>648-50 N 40TH STREET</t>
  </si>
  <si>
    <t>2018-10-15 16:00:00</t>
  </si>
  <si>
    <t>UNKNOWN HEIRS OF OWEN MILTON</t>
  </si>
  <si>
    <t>1262 N 23RD STREET</t>
  </si>
  <si>
    <t>2021-07-31 16:00:00</t>
  </si>
  <si>
    <t>PATNAIK VS YEONG ETAL</t>
  </si>
  <si>
    <t>PATNAIK, SANGINA EMILY</t>
  </si>
  <si>
    <t>FOSTER, MICHELE L; YEONG, MICHAEL</t>
  </si>
  <si>
    <t>4814 TRINITY STREET</t>
  </si>
  <si>
    <t>MTASN - MOTION ASSIGNED: 89-23041389 MISCELLANEOUS MOTION/PETITION ASSIGNED TO JUDGE: JUDGE, CONSERVATORSHIP . ON DATE: APRIL 28, 2023</t>
  </si>
  <si>
    <t>2013-03-02 10:25:00</t>
  </si>
  <si>
    <t>SCIOLI TURCO, INC. VS MCPEAK ETAL</t>
  </si>
  <si>
    <t>MCPEAK, JOHN M</t>
  </si>
  <si>
    <t>WASSER, NANCY D</t>
  </si>
  <si>
    <t>1905 CHRISTIAN STREET</t>
  </si>
  <si>
    <t>LISPR - RELEASE OF LIS PENDENS FILED: PRAECIPE TO RELEASE LIS PENDENS AS TO PREMISES 1905 CHRISTIAN STREET, PHILADELPHIA FILED. (FILED ON BEHALF OF SCIOLI TURCO, INC.)</t>
  </si>
  <si>
    <t>2015-06-29 13:55:00</t>
  </si>
  <si>
    <t>MEYER, GERGE; WILLIAMS, DELLA; WOOTEN, BENJAMIN</t>
  </si>
  <si>
    <t>ZR236 - NOTICE GIVEN UNDER RULE 236: NOTICE GIVEN ON 10-JUL-2015 OF ORDER ENTERED - FINAL DISPOS ENTERED ON 10-JUL-2015.</t>
  </si>
  <si>
    <t>2021-10-06 10:41:00</t>
  </si>
  <si>
    <t>DABNEY VS LANCASTER ETAL</t>
  </si>
  <si>
    <t>DABNEY, EMORY</t>
  </si>
  <si>
    <t>BEMBRY III, ROBERT H</t>
  </si>
  <si>
    <t>LANCASTER, ZEOLA</t>
  </si>
  <si>
    <t>CARLETON, MICHAEL E; CONNOR, CRISTINA LYNN; DIETTERICK, SCOTT A; HONG, KIMBERLY J; OFLAZIAN, ALYK L; PERKISS, GARY M; WOOTERS, MEREDITH</t>
  </si>
  <si>
    <t>2320 N 50TH STREET</t>
  </si>
  <si>
    <t>PRSDE - PRAEC/SETTLE DISCONTINUE END: SETTLED VIA S D &amp; E PRAECIPE FILED. (FILED ON BEHALF OF EMORY DABNEY)</t>
  </si>
  <si>
    <t>2016-02-03 16:55:00</t>
  </si>
  <si>
    <t>SCIOLI TURCO, INC. VS HOLLIDAY ETAL</t>
  </si>
  <si>
    <t>HOLDEN, ALBERT; HOLDEN, MATTIE; HOLDEN, WILLIAM EUGENE; HOLLIDAY, ADDIE</t>
  </si>
  <si>
    <t>1910 CARPENTER STREET</t>
  </si>
  <si>
    <t>AFDVT - AFFIDAVIT OF SERVICE FILED: AFFIDAVIT OF SERVICE OF NOTICE PETITION AND ORDER UPON ASSISTANT GENERAL COUNSEL, PHILADELPHIA GAS WORKS BY CERTIFIED MAIL ON 04/11/2016 FILED.</t>
  </si>
  <si>
    <t>2019-02-08 15:07:00</t>
  </si>
  <si>
    <t>MCILHINNEY, MICHAEL P; PECORA ESQ, JOSEPH; RHODE, LISA M; TONER, PAUL J</t>
  </si>
  <si>
    <t>ORIGINAL APOSTOLIC FAITH CHURCH OF THE LORD JESUS CHRIST</t>
  </si>
  <si>
    <t>BERNICK, ADAM S; HAYES, EDWARD J; RABINOVICH, JASON L</t>
  </si>
  <si>
    <t>1512-16 N BROAD STREET</t>
  </si>
  <si>
    <t>LISPR - RELEASE OF LIS PENDENS FILED: PRAECIPE TO RELEASE LIS PENDENS AS TO PREMISES 1512-16 N BROAD STREET, PHILADELPHIA FILED. (FILED ON BEHALF OF PHILADELPHIA COMMUNITY DEVELOPMENT COALITION INC)</t>
  </si>
  <si>
    <t>2016-05-10 08:47:00</t>
  </si>
  <si>
    <t>SCIOLI TURCO VS BERK ETAL</t>
  </si>
  <si>
    <t>SCIOLI TURCO</t>
  </si>
  <si>
    <t>BERK, DOLORES</t>
  </si>
  <si>
    <t>1007 MCKEAN STREET</t>
  </si>
  <si>
    <t>AFDVT - AFFIDAVIT OF SERVICE FILED: AFFIDAVIT OF SERVICE OF MARCH 6, 2017 ORDER UPON DOLORES BERK BY CERTIFIED MAIL,FIRST CLASS REGULAR MAIL ON 03/08/2017 FILED. (FILED ON BEHALF OF SCIOLI TURCO)</t>
  </si>
  <si>
    <t>2023-07-14 11:09:00</t>
  </si>
  <si>
    <t>HAVERFORD SQ GC, LLC ETAL VS THE SAMARITANS CORPOR</t>
  </si>
  <si>
    <t>HAVERFORD SQ GC LLC; SOUTHSIDE CHURCH CENTER</t>
  </si>
  <si>
    <t>SAMARITANS CORPORATION</t>
  </si>
  <si>
    <t>224 MANHEIM STREET</t>
  </si>
  <si>
    <t>LISPN - LIS PENDENS FILED: CERTIFICATION THAT THIS ACTION INVOLVES TITLE TO REAL ESTATE. PRAECIPE TO INDEX LIS PENDENS AS TO PREMISES 224 MANHEIM STREET, PHILADELPHIA.</t>
  </si>
  <si>
    <t>2018-04-27 10:44:00</t>
  </si>
  <si>
    <t>GLOBAL GIVINGS DEVELOPMENT CORPORATION VS MCCOY ET</t>
  </si>
  <si>
    <t>MCILHINNEY, MICHAEL P; STEIN, JONATHAN E; VANDERSLICE, RICHARD L; WATSON, DEANNA E</t>
  </si>
  <si>
    <t>MALIK, AMIN; MCCOY, MONIFA A</t>
  </si>
  <si>
    <t>1103 S 47TH STREET</t>
  </si>
  <si>
    <t>LISPR - RELEASE OF LIS PENDENS FILED: PRAECIPE TO RELEASE LIS PENDENS AS TO PREMISES 1103 S 47TH, PHILADELPHIA FILED. (FILED ON BEHALF OF GLOBAL GIVINGS DEVELOPMENT CORPORATION)</t>
  </si>
  <si>
    <t>2023-01-25 12:35:00</t>
  </si>
  <si>
    <t>SCIOLI TURCO, INC. VS ESTATE OF ALBERT J. BAUR ETA</t>
  </si>
  <si>
    <t>LATTANZE, ANASTASIA K; VANDERSLICE, RICHARD L</t>
  </si>
  <si>
    <t>BAUR, BRIAN; BAUR, CATHERINE; BAUR ESTATE OF, ALBERT J; BAUR ESTATE OF, DOROTHY</t>
  </si>
  <si>
    <t>BAUR ESQ, MARY CATHERINE</t>
  </si>
  <si>
    <t>249 E GIRARD AVENUE</t>
  </si>
  <si>
    <t>CORCT - CORRECTIVE ENTRY: 04-23053504 ***PLEASE NOTE: THIS ENTRY IS BEING MADE TO CLOSE A MOTION RECORD WHICH REMAINED OPEN IN ERROR.   ...OJR TXF</t>
  </si>
  <si>
    <t>2021-03-16 22:41:00</t>
  </si>
  <si>
    <t>SCIOLI TURCO, INC VS GERMANTOWN APARTMENT, LLC  ET</t>
  </si>
  <si>
    <t>GERMANTOWN APARTMENT LLC</t>
  </si>
  <si>
    <t>BARSKY, ADAM P; KATZ, JEFFREY</t>
  </si>
  <si>
    <t>25, 27, 29 E SCHOOL HOUSE LANE</t>
  </si>
  <si>
    <t>2024-01-17 17:13:00</t>
  </si>
  <si>
    <t>2836 KIP STREET</t>
  </si>
  <si>
    <t>071382210</t>
  </si>
  <si>
    <t>LISPN - LIS PENDENS FILED: CERTIFICATION THAT THIS ACTION INVOLVES TITLE TO REAL ESTATE. PRAECIPE TO INDEX LIS PENDENS AS TO PREMISES 2836 KIP STREET, PHILADELPHIA.</t>
  </si>
  <si>
    <t>2019-09-17 13:42:00</t>
  </si>
  <si>
    <t>GLOBAL GIVINGS DEVELOPMENT CORPORATION  VS RC CAPI</t>
  </si>
  <si>
    <t>RC CAPITOL PARTNERS LLC</t>
  </si>
  <si>
    <t>GIBBONS ESQ, LEO M; JEAN-PIERRE 582, ISAAC J; MCKEON, MATTHEW M</t>
  </si>
  <si>
    <t>539 N 36TH STREET</t>
  </si>
  <si>
    <t>ZR236 - NOTICE GIVEN UNDER RULE 236: NOTICE GIVEN ON 08-OCT-2021 OF ORDER ENTERED - FINAL DISPOS ENTERED ON 08-OCT-2021.</t>
  </si>
  <si>
    <t>2018-07-06 22:38:00</t>
  </si>
  <si>
    <t>SCIOLI TURCO, INC. VS KALAZINSKAS ETAL</t>
  </si>
  <si>
    <t>KALAZINSKAS, ALEXANDER</t>
  </si>
  <si>
    <t>528 RITNER STREET</t>
  </si>
  <si>
    <t>ZR236 - NOTICE GIVEN UNDER RULE 236: NOTICE GIVEN ON 16-DEC-2019 OF ORDER ENTERED/236 NOTICE GIVEN ENTERED ON 11-DEC-2019.</t>
  </si>
  <si>
    <t>2016-02-11 12:47:00</t>
  </si>
  <si>
    <t>CHAMPAGNE ETAL VS TUCKER ETAL</t>
  </si>
  <si>
    <t>CHAMPAGNE, DAVID; PHILADELPHIA COMMUNITY DEVELOPMENT COALITION</t>
  </si>
  <si>
    <t>TUCKER, CHRISTINE</t>
  </si>
  <si>
    <t>1740 WYLIE STREET</t>
  </si>
  <si>
    <t>PRSDE - PRAEC/SETTLE DISCONTINUE END: SETTLED VIA S D &amp; E PRAECIPE FILED. (FILED ON BEHALF OF PHILADELPHIA COMMUNITY DEVELOPMENT COALITION AND DAVID CHAMPAGNE)</t>
  </si>
  <si>
    <t>2015-06-05 10:31:00</t>
  </si>
  <si>
    <t>SCIOLI TURCO, INC. VS TILLY ETAL</t>
  </si>
  <si>
    <t>TILLY, DENNIS</t>
  </si>
  <si>
    <t>1732 CATHERINE STREET</t>
  </si>
  <si>
    <t>AFDVT - AFFIDAVIT OF SERVICE FILED: AFFIDAVIT OF SERVICE OF PETITION, ORDER, AND NOTICE UPON IRS BY CERTIFIED MAIL ON 07/02/2015 FILED.</t>
  </si>
  <si>
    <t>2023-11-14 17:03:00</t>
  </si>
  <si>
    <t>WILLIAMS VS HICKS</t>
  </si>
  <si>
    <t>WILLIAMS, JAMAR G</t>
  </si>
  <si>
    <t>HICKS, SANDA A</t>
  </si>
  <si>
    <t>3807 BARING ST</t>
  </si>
  <si>
    <t>MTASN - MOTION ASSIGNED: 80-23113580 PET-APPT CONSERVATOR-ACT 135 ASSIGNED TO JUDGE: JUDGE, CONSERVATORSHIP . ON DATE: NOVEMBER 17, 2023</t>
  </si>
  <si>
    <t>2023-08-11 15:35:00</t>
  </si>
  <si>
    <t>SCIOLI TURCO, INC. VS MANILOFF</t>
  </si>
  <si>
    <t>O'NEILL, MEGAN M</t>
  </si>
  <si>
    <t>MANILOFF, HOWARD R.</t>
  </si>
  <si>
    <t>410 SPRUCE STREET</t>
  </si>
  <si>
    <t>LISPN - LIS PENDENS FILED: CERTIFICATION THAT THIS ACTION INVOLVES TITLE TO REAL ESTATE. PRAECIPE TO INDEX LIS PENDENS AS TO PREMISES 410 SPRUCE STREET, PHILADELPHIA.</t>
  </si>
  <si>
    <t>2019-11-24 14:45:00</t>
  </si>
  <si>
    <t>BROWN ADMINISTRATOR OF ESTATE OF PAUL HARRILL, SHEILA</t>
  </si>
  <si>
    <t>2517 CECIL B. MOORE AVENUE</t>
  </si>
  <si>
    <t>2014-02-06 10:07:00</t>
  </si>
  <si>
    <t>PHILADELPHIA HOUSING IMPROVEMENT PROJECT VS LISS E</t>
  </si>
  <si>
    <t>PHILADELPHIA HOUSING IMPROVEMENT PROJECT</t>
  </si>
  <si>
    <t>LISS, BETTY</t>
  </si>
  <si>
    <t>608 N UNION STREET</t>
  </si>
  <si>
    <t>PRSDE - PRAEC/SETTLE DISCONTINUE END: PRACIPE TO DISCONTINUE AND END FILED ON 9/4/2014.   ... JPE/CAO</t>
  </si>
  <si>
    <t>2022-03-14 17:09:00</t>
  </si>
  <si>
    <t>PHILADELPHIA COMMUNITY GROWTH, INC. VS CURRAN ETAL</t>
  </si>
  <si>
    <t>MCILHINNEY, MICHAEL P; PFIRRMAN, JOHN ROBERT</t>
  </si>
  <si>
    <t>CURRAN, JOAN C</t>
  </si>
  <si>
    <t>2602 CATHARINE STREET</t>
  </si>
  <si>
    <t>MAILR - RETURNED MAIL RECEIVED: RETURNED MAIL ORDER DATED 7/25/22 AS UNDELIVERABLE AT THE ADDRESS ON FILE WITH THE COURT TO THE FOLLOWING PARTY: JOAN C CURRAN.</t>
  </si>
  <si>
    <t>2020-02-26 16:34:00</t>
  </si>
  <si>
    <t>DONAHUE, F SCOTT; RAMSUER, KEBBIE</t>
  </si>
  <si>
    <t>1222 S 26TH STREET</t>
  </si>
  <si>
    <t>2018-06-01 18:15:00</t>
  </si>
  <si>
    <t>DICKENS, CHARLES; UNKNOWN HEIRS OF FRANK MCCURDY</t>
  </si>
  <si>
    <t>1306 N 25TH STREET</t>
  </si>
  <si>
    <t>MAILR - RETURNED MAIL RECEIVED: RETURNED MAIL ORDER DATED 06/10/19 AS UNDELIVERABLE AT THE ADDRESS ON FILE WITH THE COURT TO THE FOLLOWING PARTY: CHARLES DICKENS.</t>
  </si>
  <si>
    <t>2016-08-15 17:48:00</t>
  </si>
  <si>
    <t>IS PINE LLC VS UDDOH</t>
  </si>
  <si>
    <t>UDDOH, MAURICE</t>
  </si>
  <si>
    <t>620 S 52ND STREET</t>
  </si>
  <si>
    <t>M0378 - CORRECTION TO JUDGMENT INDEX: CORRECTION TO LOCALITY INDEX: LIS PENDENS VACATED PURSUANT TO COURT ORDER DATED 01/05/2017. LIS PENDENS REMOVED FROM THE INDEX ON 01/18/2017</t>
  </si>
  <si>
    <t>2021-01-21 12:04:00</t>
  </si>
  <si>
    <t xml:space="preserve">SCIOLI TURCO, INC. ETAL VS PHILADELPHIA &amp; READING </t>
  </si>
  <si>
    <t>RMEDC - NOT OF REMOVAL TO US DIST CT</t>
  </si>
  <si>
    <t>915 SPRING GARDEN ASSOCIATES LP; SCIOLI TURCO INC</t>
  </si>
  <si>
    <t>PHILADELPHIA &amp; READING RAILROAD COMPANY; READING INTERNATIONAL INC</t>
  </si>
  <si>
    <t>SOVEN, ANDREW J</t>
  </si>
  <si>
    <t>901 SPRING GARDEN STREET</t>
  </si>
  <si>
    <t>RMEDC - NOT OF REMOVAL TO US DIST CT: NOTICE OF REMOVAL TO THE U.S. (EASTERN) DISTRICT COURT UNDER 2:21-CV-00563. (FILED ON BEHALF OF READING INTERNATIONAL INC AND PHILADELPHIA &amp; READING RAILROAD COMPANY)</t>
  </si>
  <si>
    <t>2017-04-20 11:36:00</t>
  </si>
  <si>
    <t>KIGLER GROUP LLC</t>
  </si>
  <si>
    <t>GABAY, ELI</t>
  </si>
  <si>
    <t>2221 N COLLEGE AVENUE</t>
  </si>
  <si>
    <t>SATFD - SATISFACTION FILED: ORDER TO SATISFY THE JUDGMENT FILED. (FILED ON BEHALF OF PHILADELPHIA COMMUNITY DEVELOPMENT COALITION INC)</t>
  </si>
  <si>
    <t>2021-11-22 18:29:00</t>
  </si>
  <si>
    <t>RITTENHOUSE DEVELOPMENT GROUP LLC</t>
  </si>
  <si>
    <t>630 W RITTENHOUSE STREET</t>
  </si>
  <si>
    <t>2020-03-11 10:37:00</t>
  </si>
  <si>
    <t>MENDELSOHN, JULES</t>
  </si>
  <si>
    <t>FREUNDLICH, AUSTIN R; JAFFE, DAVID S; LITTMAN, GREGORY C; RUDITYS, BRIAN M</t>
  </si>
  <si>
    <t>912 N 30TH STREET</t>
  </si>
  <si>
    <t>ZR236 - NOTICE GIVEN UNDER RULE 236: NOTICE GIVEN ON 08-SEP-2021 OF ORDER ENTERED - FINAL DISPOS ENTERED ON 04-SEP-2021.</t>
  </si>
  <si>
    <t>2022-07-08 10:12:00</t>
  </si>
  <si>
    <t>SERRANO VS MANNS MAYO ETAL</t>
  </si>
  <si>
    <t>SERRANO, THAIS</t>
  </si>
  <si>
    <t>MANNS MAYO, NICOLE</t>
  </si>
  <si>
    <t>DANIEL, MITA L</t>
  </si>
  <si>
    <t>2319 N 33RD STREET</t>
  </si>
  <si>
    <t>M0462 - LISTED-STAT CONF CONSERVATOR: 21-22071321</t>
  </si>
  <si>
    <t>2016-07-15 12:29:00</t>
  </si>
  <si>
    <t>FAIRMOUNT CDC VS MENDELSOHN</t>
  </si>
  <si>
    <t>MENDELSOHN, DAVID</t>
  </si>
  <si>
    <t>3032 CAMBRIDGE STREET</t>
  </si>
  <si>
    <t>ZRDSC - PRAECIPE TO DISCONTINUE: ORDER TO DISCONTINUE WITHOUT PREJUDICE FILED. (FILED ON BEHALF OF FAIRMOUNT CDC)</t>
  </si>
  <si>
    <t>2014-03-18 13:06:00</t>
  </si>
  <si>
    <t>EAST PARKSIDE DEVELOPERS LLC VS POLCHE ETAL</t>
  </si>
  <si>
    <t>EAST PARKSIDE DEVELOPERS LLC</t>
  </si>
  <si>
    <t>POLCHE, JERMINA</t>
  </si>
  <si>
    <t>BENNETT III, FRANKLIN A; LEVY, BART E; MARTIN, MARY-KATE</t>
  </si>
  <si>
    <t>1515 BELMONT AVENUE</t>
  </si>
  <si>
    <t>ZR236 - NOTICE GIVEN UNDER RULE 236: NOTICE GIVEN ON 11-DEC-2014 OF ORDER ENTERED - FINAL DISPOS ENTERED ON 09-DEC-2014.</t>
  </si>
  <si>
    <t>2012-07-30 17:02:00</t>
  </si>
  <si>
    <t>ROSENBLUM VS ESTATE OF CATHERINE COCHETTI ETAL</t>
  </si>
  <si>
    <t>ROSENBLUM, MARJORIE SUSAN</t>
  </si>
  <si>
    <t>COCHETTI, CATHERINE; COCHETTI ESTATE OF, CATHERINE</t>
  </si>
  <si>
    <t>1140 GERRITT STREET</t>
  </si>
  <si>
    <t>012422200</t>
  </si>
  <si>
    <t>LISPR - RELEASE OF LIS PENDENS FILED: PRAECIPE TO RELEASE LIS PENDENS AS TO PREMISES 1140 GERRITT , PHILADELPHIA FILED. (FILED ON BEHALF OF MARJORIE SUSAN ROSENBLUM)</t>
  </si>
  <si>
    <t>2022-08-24 12:47:00</t>
  </si>
  <si>
    <t>SIEVERS WARNER THE UNKNOWN HEIRS OF, ELIESE; STYLES, ROSE; UNK BENEFICIARIES OF TRUST U/W OF ELIESE SIEVERS WARNER; WARNER FAITH TABERNACLE</t>
  </si>
  <si>
    <t>849 N 16TH STREET</t>
  </si>
  <si>
    <t>M0462 - LISTED-STAT CONF CONSERVATOR: 12-22084612 STATUS HEARING SCHEDULED FOR 7/12/2023 AT 10:30 A.M. IN COURTROOM 453, CITY HALL.</t>
  </si>
  <si>
    <t>2016-07-28 11:40:00</t>
  </si>
  <si>
    <t>SCIOLI TURCO, INC. VS YERKA ETAL</t>
  </si>
  <si>
    <t>YERKA, ELVIRA</t>
  </si>
  <si>
    <t>4562-64 MILNOR</t>
  </si>
  <si>
    <t>LISPR - RELEASE OF LIS PENDENS FILED: PRAECIPE TO RELEASE LIS PENDENS AS TO PREMISES 4562-4564 MILNOR STREET, PHILADELPHIA FILED. (FILED ON BEHALF OF SCIOLI TURCO, INC.)</t>
  </si>
  <si>
    <t>2013-08-07 11:01:00</t>
  </si>
  <si>
    <t>BRIDESBURG COMMUNITY DEVELOPMENT CORP. VS WAGNER E</t>
  </si>
  <si>
    <t>BRIDESBURG COMMUNITY DEVELOPMENT CORPORATION</t>
  </si>
  <si>
    <t>WAGNER, PHILOMENA</t>
  </si>
  <si>
    <t>2715 EDDINGTON STREET</t>
  </si>
  <si>
    <t>ORDRF - ORDER ENTERED - FINAL DISPOS: SEE JUDGE NEW'S ORDER DATED 12/31/2014.   ... JPE/CAO</t>
  </si>
  <si>
    <t>2022-05-20 11:11:00</t>
  </si>
  <si>
    <t>G &amp; A REALTY LLC</t>
  </si>
  <si>
    <t>2153 N 09TH STREET</t>
  </si>
  <si>
    <t>2022-03-07 14:16:00</t>
  </si>
  <si>
    <t>PFIRRMAN, JOHN ROBERT</t>
  </si>
  <si>
    <t>PRIME HOME PHILLY LLC</t>
  </si>
  <si>
    <t>4623 LOCUST</t>
  </si>
  <si>
    <t>ZR236 - NOTICE GIVEN UNDER RULE 236: NOTICE GIVEN ON 03-JUN-2022 OF ORDER ENTERED - FINAL DISPOS ENTERED ON 03-JUN-2022.</t>
  </si>
  <si>
    <t>2020-01-16 15:06:00</t>
  </si>
  <si>
    <t>PA NEIGHBORHOOD DEVELOPMENT PARTNERSHIP VS GOINS E</t>
  </si>
  <si>
    <t>GOINS, GREGORY</t>
  </si>
  <si>
    <t>MAILR - RETURNED MAIL RECEIVED: RETURNED MAIL ORDER DATED 10/21/21 AS UNDELIVERABLE AT THE ADDRESS ON FILE WITH THE COURT TO THE FOLLOWING PARTY: THOMAS BIGGINS.</t>
  </si>
  <si>
    <t>2016-08-05 13:36:00</t>
  </si>
  <si>
    <t>INNOVA SERVICES CORPORATION VS MCNEIL ETAL</t>
  </si>
  <si>
    <t>INNOVA SERVICES CORPORATION</t>
  </si>
  <si>
    <t>MCNEIL, LINDA C; PRATT III, JAMES E</t>
  </si>
  <si>
    <t>1513 S CHADWICK</t>
  </si>
  <si>
    <t>PRSDE - PRAEC/SETTLE DISCONTINUE END: SETTLED VIA S D &amp; E PRAECIPE FILED. (FILED ON BEHALF OF INNOVA SERVICES CORPORATION)</t>
  </si>
  <si>
    <t>2015-01-09 14:34:00</t>
  </si>
  <si>
    <t>STEPH-SIN DEVELOPMENT, L.L.C. VS HILL ETAL</t>
  </si>
  <si>
    <t>HILL, PATRICIA</t>
  </si>
  <si>
    <t>3019 BALTZ STREET</t>
  </si>
  <si>
    <t>LISPR - RELEASE OF LIS PENDENS FILED: PRAECIPE TO RELEASE LIS PENDENS AS TO PREMISES 3019 BALTZ STREET, PHILADELPHIA FILED. (FILED ON BEHALF OF STEPH-SIN DEVELOPMENT, L.L.C.)</t>
  </si>
  <si>
    <t>2015-02-26 14:14:00</t>
  </si>
  <si>
    <t>SCIOLI TURCO, INC. VS GRAVES ETAL</t>
  </si>
  <si>
    <t>GRAVES, HAZELAN F</t>
  </si>
  <si>
    <t>1422 S 18TH STREET</t>
  </si>
  <si>
    <t>DISPO - DISPOSED -  CASE CLOSED: PETITION WITHDRAWN 7/6/2015.   ... BY THE COURT: NEW, J. 7/14/2015</t>
  </si>
  <si>
    <t>2023-11-14 13:43:00</t>
  </si>
  <si>
    <t>SOKOLOV VS ZHAO ETAL</t>
  </si>
  <si>
    <t>SOKOLOV, OLEG</t>
  </si>
  <si>
    <t>ZHAO, DANGWEI</t>
  </si>
  <si>
    <t>200 QUARRY STREET</t>
  </si>
  <si>
    <t>M0462 - LISTED-STAT CONF CONSERVATOR: 60-23113360 MOTION HEARING SCHEDULED FOR 1/2/2024 AT 2:30 P.M. VIA ZOOM.</t>
  </si>
  <si>
    <t>2023-05-22 10:53:00</t>
  </si>
  <si>
    <t>UKNOWN HEIRS OF MARGARET FRYE</t>
  </si>
  <si>
    <t>1123 W CUMBERLAND STREET</t>
  </si>
  <si>
    <t>LISPN - LIS PENDENS FILED: CERTIFICATION THAT THIS ACTION INVOLVES TITLE TO REAL ESTATE. PRAECIPE TO INDEX LIS PENDENS AS TO PREMISES 1123 W CUMBERLAND STREET, PHILADELPHIA.</t>
  </si>
  <si>
    <t>2015-08-13 16:05:00</t>
  </si>
  <si>
    <t>SCIOLI TURCO, INC.  VS WOOTEN ETAL</t>
  </si>
  <si>
    <t>M0606 - AGREEMENT OF SALE APPROVED: 53-16021953 PETITION SCIOLI TURCO AND THE DELLA WILLIAMS TRUSTEE STIPULATE AS FOLLOWS:  1.  THE PARTIES AGREE TO RESOLVE THE ABOVE CAPTIONED PETITION FOR APPOINTMENT OF A CONSERVATOR PURSUANT TO THE ABANDONED AND BLIGHTED PROPERTY CONSERVATORSHIP ACT, 68 P.S. 1101 ET SEQ REGARDING 1214 SOUTH 17TH STREET, PHILADELPHIA, PA, BY MUTUAL RELEASE FOR THE MUTUAL CONSIDERATION REPRESENTED BY THE FOLLOWING TERMS.  2.  DELLA WILLIAMS HEREBY CONFIRMS THAT BENJAMIN WOOTEN AND GEORGE MEYER ARE DECEASED.  3.  DELLA WILLIAMS HEREBY CONFIRMS THAT NO SUCCESSOR TRUSTEES HAVE BEEN APPOINTED.  4.  DELLA WILLIAMS HEREBY AGREES THAT SCIOLI TURCO, INC MAY ENTER INTO AGREEMENT S AND EXECUTE THE DOCUMENTS NECESSARY TO EFFECT THE DALE DESCRIBED HEREIN AND WILL COOPERATE WITH ANY OTHER DOCUMENTS THAT NEED TO BE SIGNED.  5.  THE PARTIES AGREE THAT RESPONDENT WILL SELL PREMISES, INITIALLY LISTING THE PROPERTY FOR ONE HUNDRED AND FIFTY THOUSAND DOLLARS($150,000.00).  6.  THE PARTIES AGREE THAT WITHIN FIVE (5) DAYS OF THE DOCKETING OF THIS STIPULATION PETITIONER SHALL FILE AN ORDER TO MARK THE MATTER SETTLED, DISCONTINUED AND ENDED WITHOUT PREJUDICE AND FILE A PRAECIPE TO RELEASE THE LIS PENDENS WITH THE PROTHONOTARY.  7.  AT THE CLOSING RESPONDENT AGREES TO PAY PETITIONER THE STATUTORY CONSERVATOR FEE AND FOR THE REASONABLE ATTORNEY FEES INCURRED IN THE FILING OF THE PETITION AND CONSERVATOR'S FEE OF 20% OF THE SALE PRICE AS OUTLINED IN 68 P.S. 1103 AND 1109 AS "COSTS OF REHABILITATION."  SEE STIPULATION FOR FURTHER DETAILS.   ...IT IS SO ORDERED, BY THE COURT; FOX, J. 2-11-16</t>
  </si>
  <si>
    <t>2015-10-08 14:31:00</t>
  </si>
  <si>
    <t xml:space="preserve">FRANCISVILLE NEIGHBORHOOD DEVELOPMENT CORPORATION </t>
  </si>
  <si>
    <t>FRANCISVILLE NEIGHBORHOOD DEVELOPMENT CORPORATION</t>
  </si>
  <si>
    <t>MOORE, CHARLES E; MOORE, MARGARET OMETHER</t>
  </si>
  <si>
    <t>SCHAFKOPF, GARY; WEISBERG, MATTHEW B; ZWOLAK, JAMES J</t>
  </si>
  <si>
    <t>1513 CAMBRIDGE STREET</t>
  </si>
  <si>
    <t>CRTRR - CERTIFIED RECORD RECEIVED: RECORD RETURNED FROM COMMONWEALTH COURT AT 29 CD 2017</t>
  </si>
  <si>
    <t>2021-04-13 18:27:00</t>
  </si>
  <si>
    <t>PHILADELPHIA REDEVELOPMENT AUTHORITY</t>
  </si>
  <si>
    <t>HARMON, RYAN D; NEWCOMB, WILLIAM M</t>
  </si>
  <si>
    <t>3110 W BERKS STREET</t>
  </si>
  <si>
    <t>2020-02-17 14:13:00</t>
  </si>
  <si>
    <t>MCILHINNEY, MICHAEL P; ROSS, ANDREW S</t>
  </si>
  <si>
    <t>CECIL B 2036 LLC</t>
  </si>
  <si>
    <t>MONROE 410, MATTHEW C; PICCIRILLI, GAETANO P; PLATT, MONICA C</t>
  </si>
  <si>
    <t>2036-40 CECIL B. MOORE AVENUE</t>
  </si>
  <si>
    <t>2020-01-21 15:52:00</t>
  </si>
  <si>
    <t>SCIOLI TURCO, INC. VS MCCUEN ETAL</t>
  </si>
  <si>
    <t>BENOFF, BART; PALAZZO, NICHOLAS L</t>
  </si>
  <si>
    <t>MCCUEN, MICHAEL P</t>
  </si>
  <si>
    <t>CARLETON, MICHAEL E; CONNOR, CRISTINA LYNN; DIETTERICK, SCOTT A; HONG, KIMBERLY J; KOBESKI, JUSTIN; VELTER, KARINA; WOOTERS, MEREDITH</t>
  </si>
  <si>
    <t>7014 HEGERMAN STREET</t>
  </si>
  <si>
    <t>ZRDSC - PRAECIPE TO DISCONTINUE: ORDER TO DISCONTINUE WITHOUT PREJUDICE FILED. (FILED ON BEHALF OF SCIOLI TURCO INC)</t>
  </si>
  <si>
    <t>2022-07-18 13:14:00</t>
  </si>
  <si>
    <t>P ANTHONY COMPANY</t>
  </si>
  <si>
    <t>DELEON, JAMES M; RIGMAIDEN-DELEON, MARILYN A</t>
  </si>
  <si>
    <t>2040 GERRITT STREET</t>
  </si>
  <si>
    <t>ZR236 - NOTICE GIVEN UNDER RULE 236: NOTICE GIVEN ON 03-FEB-2023 OF ORDER ENTERED/236 NOTICE GIVEN ENTERED ON 02-FEB-2023.</t>
  </si>
  <si>
    <t>2022-09-02 14:43:00</t>
  </si>
  <si>
    <t>GONCALVES, JULIO FILIPE</t>
  </si>
  <si>
    <t>1809 N 24TH STREET</t>
  </si>
  <si>
    <t>2016-04-12 13:19:00</t>
  </si>
  <si>
    <t>SCIOLI TURCO, INC. VS YOUNG ETAL</t>
  </si>
  <si>
    <t>YOUNG, GEORGE A</t>
  </si>
  <si>
    <t>SAYLES, MICHAEL D</t>
  </si>
  <si>
    <t>1215 S 17TH ST</t>
  </si>
  <si>
    <t>ZR236 - NOTICE GIVEN UNDER RULE 236: NOTICE GIVEN ON 08-DEC-2016 OF ORDER ENTERED - FINAL DISPOS ENTERED ON 07-DEC-2016.</t>
  </si>
  <si>
    <t>2022-03-28 15:14:00</t>
  </si>
  <si>
    <t>1537 TULPEHOCKEN, LLC VS HUSSEIN ETAL</t>
  </si>
  <si>
    <t>HUSSEIN, RAZAN</t>
  </si>
  <si>
    <t>1740 N 26TH STREET</t>
  </si>
  <si>
    <t>ZR236 - NOTICE GIVEN UNDER RULE 236: NOTICE GIVEN ON 19-AUG-2022 OF STAYED BY ORDER OF COURT ENTERED ON 19-AUG-2022.</t>
  </si>
  <si>
    <t>2014-04-12 14:59:00</t>
  </si>
  <si>
    <t>SCIOLI TURCO, INC. VS BARNES  ETAL</t>
  </si>
  <si>
    <t>M0254 - DISCONTINUED/TRANSFERED TO ADR</t>
  </si>
  <si>
    <t>BARNES, ACEY; BENSON-BARNES, VONDA</t>
  </si>
  <si>
    <t>VANDERMARK, JEREMIAH J</t>
  </si>
  <si>
    <t>1754 S DORRANCE STREET</t>
  </si>
  <si>
    <t>ZR236 - NOTICE GIVEN UNDER RULE 236: NOTICE GIVEN ON 27-OCT-2014 OF DISCONTINUED/TRANSFERED TO ADR ENTERED ON 24-OCT-2014.</t>
  </si>
  <si>
    <t>2016-04-13 16:04:00</t>
  </si>
  <si>
    <t>SCIOLI TURCO, INC. VS FELIX P. SUGINT, JR., EXR OF</t>
  </si>
  <si>
    <t>SUGINT JR.EXECUTOR ESTATE OF ELEANOR L SUGINT, FELIX P; SUGINT SR, FELIX P</t>
  </si>
  <si>
    <t>3246 RYAN AVE</t>
  </si>
  <si>
    <t>ZR236 - NOTICE GIVEN UNDER RULE 236: NOTICE GIVEN ON 13-NOV-2018 OF ORDER ENTERED - FINAL DISPOS ENTERED ON 09-NOV-2018.</t>
  </si>
  <si>
    <t>2019-04-23 15:38:00</t>
  </si>
  <si>
    <t>LIG REALTY LLC</t>
  </si>
  <si>
    <t>1829 INGERSOLL STREET</t>
  </si>
  <si>
    <t>2019-10-17 15:16:00</t>
  </si>
  <si>
    <t>OWENS, PAULA</t>
  </si>
  <si>
    <t>2154 N PERCY STREET</t>
  </si>
  <si>
    <t>MAILR - RETURNED MAIL RECEIVED: RETURNED MAIL ORDER DATED 01/11/21 AS UNDELIVERABLE AT THE ADDRESS ON FILE WITH THE COURT TO THE FOLLOWING PARTY: PAULA OWENS.</t>
  </si>
  <si>
    <t>2019-11-06 11:55:00</t>
  </si>
  <si>
    <t>SCIOLI TURCO, INC. VS LAWRENCE845 LLC ETAL</t>
  </si>
  <si>
    <t>LAWRENCE845 LLC</t>
  </si>
  <si>
    <t>BRADLEY, CHRISTOPHER A; HENIGAN, PATRICK T; SWAIN, ANDREW D</t>
  </si>
  <si>
    <t>845 N LAWRENCE STREET</t>
  </si>
  <si>
    <t>056215600</t>
  </si>
  <si>
    <t>LISPR - RELEASE OF LIS PENDENS FILED: PRAECIPE TO RELEASE LIS PENDENS AS TO PREMISES 845 N LAWRENCE STREET, PHILADELPHIA FILED. (FILED ON BEHALF OF SCIOLI TURCO INC)</t>
  </si>
  <si>
    <t>2019-01-14 13:51:00</t>
  </si>
  <si>
    <t>COMMONWEALTH PRESERVATION ALLIANCE, INC. VS THE OR</t>
  </si>
  <si>
    <t>ORIGINAL APOSTOLIC CHURCH OF THE LORD JESUS CHRIST INC</t>
  </si>
  <si>
    <t>M0378 - CORRECTION TO JUDGMENT INDEX: CORRECTION TO LOCALITY INDEX: LIS PENDENS ON THE PROPERTY LOCATED AT 1512-16 NORTH BROAD STREET IS LIFTED PRUSUANT TO COURT ORDER DATED 2/6/19. INDEX UPDATED ON 3/25/19.</t>
  </si>
  <si>
    <t>2018-08-15 17:05:00</t>
  </si>
  <si>
    <t>GLOBAL GIVINGS DEVELOPMENT CORPORATION VS BEAL ETA</t>
  </si>
  <si>
    <t>BEAL, IRENE L</t>
  </si>
  <si>
    <t>PRESSLEY, RONALD J</t>
  </si>
  <si>
    <t>2737 OAKFORD STREET</t>
  </si>
  <si>
    <t>M0378 - CORRECTION TO JUDGMENT INDEX: CORRECTION TO LOCALITY INDEX: LIS PENDENS ON THE PROPERTY LOCATED AT 2737 OAKFORD STREET IS LIFTED PRUSUANT TO COURT ORDER DATED 2/25/19. INDEX UPDATED ON 3/25/19.</t>
  </si>
  <si>
    <t>2016-04-20 16:55:00</t>
  </si>
  <si>
    <t>INNOVA SERVICES CORPORATION VS DANIEL ETAL</t>
  </si>
  <si>
    <t>SATIQUE, DANIEL J</t>
  </si>
  <si>
    <t>KLYASHTORNY, NATALIE; NOCHUMSON, ALAN</t>
  </si>
  <si>
    <t>1524 S COLORADO ST</t>
  </si>
  <si>
    <t>ZRDSC - PRAECIPE TO DISCONTINUE: ORDER TO DISCONTINUE WITHOUT PREJUDICE FILED. (FILED ON BEHALF OF INNOVA SERVICES CORPORATION)</t>
  </si>
  <si>
    <t>2020-05-18 16:06:00</t>
  </si>
  <si>
    <t>CROWLEY, GABRIEL</t>
  </si>
  <si>
    <t>THOMAS, WILLIAM J</t>
  </si>
  <si>
    <t>1923 N 33RD STREET</t>
  </si>
  <si>
    <t>2019-07-12 17:15:00</t>
  </si>
  <si>
    <t>GLOBAL GIVINGS DEVELOPMENT CORPORATION  VS OLOSUND</t>
  </si>
  <si>
    <t>OLOSUNDE, PETER</t>
  </si>
  <si>
    <t>HAMILTON, WARREN R</t>
  </si>
  <si>
    <t>1324 S 48TH STREET</t>
  </si>
  <si>
    <t>ZR236 - NOTICE GIVEN UNDER RULE 236: NOTICE GIVEN ON 16-JUN-2021 OF ORDER ENTERED/236 NOTICE GIVEN ENTERED ON 16-JUN-2021.</t>
  </si>
  <si>
    <t>2022-09-02 17:18:00</t>
  </si>
  <si>
    <t>PHILADELPHIA COMMUNITY GROWTH, INC VS POLNER GROUP</t>
  </si>
  <si>
    <t>TONER, PAUL J; TURNER JR, FRANK L</t>
  </si>
  <si>
    <t>POLNER GROUP LLC</t>
  </si>
  <si>
    <t>1246-56 S 17TH STREET</t>
  </si>
  <si>
    <t>PRSUB - PRAECIPE-SUBSTITUTE/ATTACH: FEE &amp; COST REPORT OF PHILADELPHIA COMMUNITY GROWTH, INC (THROUGH MAY 25, 2023) PER THE ORDER DOCKETED ON 05/17/2023 FILED. (FILED ON BEHALF OF PHILADELPHIA COMMUNITY GROWTH INC)</t>
  </si>
  <si>
    <t>2013-04-23 11:14:00</t>
  </si>
  <si>
    <t>SCIOLI TURCO, INC. VS COURY ETAL</t>
  </si>
  <si>
    <t>COURY, MARTHA</t>
  </si>
  <si>
    <t>SHARIFF, MOHAMMED IRFAN</t>
  </si>
  <si>
    <t>1230 S 13TH STREET</t>
  </si>
  <si>
    <t>021613500</t>
  </si>
  <si>
    <t>ZR236 - NOTICE GIVEN UNDER RULE 236: NOTICE GIVEN ON 20-MAY-2015 OF ORDER ENTERED/236 NOTICE GIVEN ENTERED ON 14-MAY-2015.</t>
  </si>
  <si>
    <t>2019-04-04 10:12:00</t>
  </si>
  <si>
    <t>HAS INVESTMENT PARTNERS, LLC VS DUREN ETAL</t>
  </si>
  <si>
    <t>HAS INVESTMENT PARTNERS LLC</t>
  </si>
  <si>
    <t>DUREN, FANE M</t>
  </si>
  <si>
    <t>4606 WOODLAND</t>
  </si>
  <si>
    <t>PRSDE - PRAEC/SETTLE DISCONTINUE END: SETTLED VIA S D &amp; E PRAECIPE FILED. (FILED ON BEHALF OF HAS INVESTMENT PARTNERS LLC)</t>
  </si>
  <si>
    <t>2019-01-17 09:14:00</t>
  </si>
  <si>
    <t>TOLO PROPERTIES, LLC VS STEWART ETAL</t>
  </si>
  <si>
    <t>STEWART, LINDA D</t>
  </si>
  <si>
    <t>1808 HARLAN STREET</t>
  </si>
  <si>
    <t>APORR - ORDER REVERSED BY APPELLATE CT: 374 CD 2019
AND  NOW, THIS 11TH DAY OF MAY, 2020, THE FEBRUARY 15, 2019 ORDER OF THE PHILADELPHIA COUNTY COURT OF COMMON PLEAS IS REVERSED AND THE MATTER IS REMANDED FOR FURTHER PROCEEDINGS.
JURISDICTION RELINQUISHED.</t>
  </si>
  <si>
    <t>2018-04-20 17:50:00</t>
  </si>
  <si>
    <t>GARDNER, CAROLINE A; TONER, PAUL J</t>
  </si>
  <si>
    <t>BULLDOG REAL ESTATE PROPERTIES LLC</t>
  </si>
  <si>
    <t>KRIK, JUSTIN L</t>
  </si>
  <si>
    <t>1612 PARRISH STREET</t>
  </si>
  <si>
    <t>M0378 - CORRECTION TO JUDGMENT INDEX: CORRECTION TO LOCALITY INDEX: LIS PENDENS VACATED PURSUANT TO COURT ORDER DATED 11/07/2018. INDEX UPDATED 11/20/2018</t>
  </si>
  <si>
    <t>2022-05-02 13:12:00</t>
  </si>
  <si>
    <t>PHILADELPHIA COMMUNITY DEVELOPMENT COALITION VS HN</t>
  </si>
  <si>
    <t>HNM LLC</t>
  </si>
  <si>
    <t>2248 EARP STREET</t>
  </si>
  <si>
    <t>M0378 - CORRECTION TO JUDGMENT INDEX: ***CORRECTION TO JUDGMENT INDEX: LIS PENDENS RELEASED PURSUANT TO COURT ORDER DATED 09-19-2022. INDEX UPDATED 09-19-22.</t>
  </si>
  <si>
    <t>2016-03-23 15:01:00</t>
  </si>
  <si>
    <t>SABO VS HARCUM</t>
  </si>
  <si>
    <t>HARCUM, JOAN M</t>
  </si>
  <si>
    <t>1421 POINT BREEZE AVENUE</t>
  </si>
  <si>
    <t>2013-06-28 08:46:00</t>
  </si>
  <si>
    <t>SCIOLI TURCO, INC. VS EDWARDS ETAL</t>
  </si>
  <si>
    <t>EDWARDS, JANENE</t>
  </si>
  <si>
    <t>ASHER III, JOHN T</t>
  </si>
  <si>
    <t>1340 S 16TH STREET</t>
  </si>
  <si>
    <t>ZR236 - NOTICE GIVEN UNDER RULE 236: NOTICE GIVEN ON 20-AUG-2014 OF ORDER ENTERED - FINAL DISPOS ENTERED ON 20-AUG-2014.</t>
  </si>
  <si>
    <t>2021-08-27 10:30:00</t>
  </si>
  <si>
    <t>PHILADELPHIA COMMUNITY DEVELOPMENT COALITION INC V</t>
  </si>
  <si>
    <t>WEEKES, RASHEEN</t>
  </si>
  <si>
    <t>433 WIOTA STREET</t>
  </si>
  <si>
    <t>061173540</t>
  </si>
  <si>
    <t>2022-01-27 11:55:00</t>
  </si>
  <si>
    <t>MCILHINNEY, MICHAEL P; PFIRRMAN, JOHN ROBERT; TONER, PAUL J</t>
  </si>
  <si>
    <t>2150 N 09TH STREET</t>
  </si>
  <si>
    <t>ZR236 - NOTICE GIVEN UNDER RULE 236: NOTICE GIVEN ON 16-AUG-2022 OF ORDER ENTERED/236 NOTICE GIVEN ENTERED ON 16-AUG-2022.</t>
  </si>
  <si>
    <t>2020-03-26 13:05:00</t>
  </si>
  <si>
    <t>M0045 - STIPULATION - FINAL DISPO</t>
  </si>
  <si>
    <t>MCILHINNEY, MICHAEL P; OLEN, ANDREW</t>
  </si>
  <si>
    <t>SMOKER, PHILIP</t>
  </si>
  <si>
    <t>3817 BARING STREET</t>
  </si>
  <si>
    <t>ORDMN - COURT ORDERED PAYOUT OF ESCROW: CHECK #9762 IN THE AMOUNT OF $10,000.00 WAS RELEASED TO ORPHANIDES &amp; TONER LLP PER ORDER DATED 09/28/2022, BUTCHART, J.</t>
  </si>
  <si>
    <t>2017-07-17 11:25:00</t>
  </si>
  <si>
    <t>PHILADELPHIA BLIGHT PROJECT VS OSUJI ETAL</t>
  </si>
  <si>
    <t>PHILADELPHIA BLIGHT PROJECT</t>
  </si>
  <si>
    <t>OSUJI, BERNICE</t>
  </si>
  <si>
    <t>2253 N 33RD STREET</t>
  </si>
  <si>
    <t>ZR236 - NOTICE GIVEN UNDER RULE 236: NOTICE GIVEN ON 18-APR-2019 OF ORDER ENTERED - FINAL DISPOS ENTERED ON 17-APR-2019.</t>
  </si>
  <si>
    <t>2022-12-01 15:48:00</t>
  </si>
  <si>
    <t>SKILTON VS TOLBERT ETAL</t>
  </si>
  <si>
    <t>SKILTON, STEPHEN</t>
  </si>
  <si>
    <t>TOLBERT, ROMAINE J</t>
  </si>
  <si>
    <t>5857 ADDISON STREET</t>
  </si>
  <si>
    <t>M0462 - LISTED-STAT CONF CONSERVATOR: 85-22120285 STATUS HEARING SCHEDULED FOR 11/6/2023 AT 9:30 A.M. VIA ZOOM.</t>
  </si>
  <si>
    <t>2018-07-06 22:19:00</t>
  </si>
  <si>
    <t>SCIOLI TURCO, INC. VS SIEGERT ETAL</t>
  </si>
  <si>
    <t>SIEGERT, JOSEPH R</t>
  </si>
  <si>
    <t>5005 MCKEAN AVE.</t>
  </si>
  <si>
    <t>ORDMN - COURT ORDERED PAYOUT OF ESCROW: CHECK #9580 IN THE AMOUNT OF $42,621.12 WAS RELEASED TO JOSEPH R SIEGERT</t>
  </si>
  <si>
    <t>2017-04-25 15:34:00</t>
  </si>
  <si>
    <t>BORRIELLO VS YYD REALTY</t>
  </si>
  <si>
    <t>BORRIELLO, PAUL</t>
  </si>
  <si>
    <t>YYD REALTY</t>
  </si>
  <si>
    <t>MESTER, LAURENCE A</t>
  </si>
  <si>
    <t>1126 S 09TH STREET</t>
  </si>
  <si>
    <t>PRSDE - PRAEC/SETTLE DISCONTINUE END: SETTLED VIA S D &amp; E PRAECIPE FILED. (FILED ON BEHALF OF PAUL BORRIELLO)</t>
  </si>
  <si>
    <t>2015-12-18 15:36:00</t>
  </si>
  <si>
    <t>SCIOLI TURCO, INC. VS EVERBANK COMMERCIAL FINANCE,</t>
  </si>
  <si>
    <t>EVERBANK COMMERCIAL FINANCE INC</t>
  </si>
  <si>
    <t>LITTLE, KRISTEN D</t>
  </si>
  <si>
    <t>1301 WAKELING</t>
  </si>
  <si>
    <t>ZR236 - NOTICE GIVEN UNDER RULE 236: NOTICE GIVEN ON 08-OCT-2019 OF ORDER ENTERED - FINAL DISPOS ENTERED ON 08-OCT-2019.</t>
  </si>
  <si>
    <t>2023-04-24 12:14:00</t>
  </si>
  <si>
    <t>PHILADELPHIA COMMUNITY GROWTH, INC VS GAFFNEY ETAL</t>
  </si>
  <si>
    <t>GAFFNEY, GENEVA; UNKNOWN HEIRS OF ANNIE M BOATWRIGHT</t>
  </si>
  <si>
    <t>5201 ARLINGTON</t>
  </si>
  <si>
    <t>LISPN - LIS PENDENS FILED: CERTIFICATION THAT THIS ACTION INVOLVES TITLE TO REAL ESTATE. PRAECIPE TO INDEX LIS PENDENS AS TO PREMISES 5201 ARLINGTON, PHILADELPHIA.</t>
  </si>
  <si>
    <t>2015-05-11 10:05:00</t>
  </si>
  <si>
    <t>SCIOLI TURCO, INC. VS POWASERYS ETAL</t>
  </si>
  <si>
    <t>BAJAN SOLUTIONS LLC; POWASERYS, WESLEY</t>
  </si>
  <si>
    <t>2958 LIVINGSTON STREET</t>
  </si>
  <si>
    <t>ZR236 - NOTICE GIVEN UNDER RULE 236: NOTICE GIVEN ON 25-NOV-2015 OF ORDER ENTERED - FINAL DISPOS ENTERED ON 24-NOV-2015.</t>
  </si>
  <si>
    <t>2021-01-29 08:53:00</t>
  </si>
  <si>
    <t>LTF DEVELOPMENT LLC</t>
  </si>
  <si>
    <t>TURNER JR, FRANK L</t>
  </si>
  <si>
    <t>1823 WILDER STREET</t>
  </si>
  <si>
    <t>ORDMN - COURT ORDERED PAYOUT OF ESCROW: CHECK #9682 IN THE AMOUNT OF $2,500.00 WAS RELEASED TO COUNSEL FOR THE PETITIONER, ORPHANIDES AND TONER LLP PER ORDER DATED 01/25/2022, BUTCHART, J.</t>
  </si>
  <si>
    <t>2018-12-03 20:53:00</t>
  </si>
  <si>
    <t>UNKNOWN HEIRS OF HAROLD HORTON</t>
  </si>
  <si>
    <t>2209 DREER STREET</t>
  </si>
  <si>
    <t>MAILR - RETURNED MAIL RECEIVED: RETURNED MAIL TRIAL WORKSHEET DATED 04/04/19AS UNDELIVERABLE AT THE ADDRESS ON FILE WITH THE COURT TO THE FOLLOWING PARTY: UNKNOWN HEIRS OF HAROLD HORTON.</t>
  </si>
  <si>
    <t>2021-06-11 17:09:00</t>
  </si>
  <si>
    <t>1547 BAMBREY LLC</t>
  </si>
  <si>
    <t>1547 S BAMBREY STREET</t>
  </si>
  <si>
    <t>2014-09-15 20:59:00</t>
  </si>
  <si>
    <t>SCIOLI TURCO, INC. VS ABI-SALLOUM ETAL</t>
  </si>
  <si>
    <t>LISPR - RELEASE OF LIS PENDENS FILED: PRAECIPE TO RELEASE LIS PENDENS AS TO PREMISES 923 FEDERAL STREET, PHILADELPHIA FILED. (FILED ON BEHALF OF SCIOLI TURCO, INC.)</t>
  </si>
  <si>
    <t>2021-04-19 17:42:00</t>
  </si>
  <si>
    <t>DELAROSA ASSET MANAGEMENT LLC</t>
  </si>
  <si>
    <t>1746 N 25TH STREET</t>
  </si>
  <si>
    <t>2023-06-23 16:05:00</t>
  </si>
  <si>
    <t>PHILADELPHIA COMMUNITY GROWTH, INC VS TONEY ETAL</t>
  </si>
  <si>
    <t>FORTE, DARRYL; THOMAS ADMINISTRATORS ESTATE EVANDER TONEY SR, TERRI; TONEY JR., EVANDER; UNKNOWN HEIRS OF RUTH FORTE</t>
  </si>
  <si>
    <t>221 APSLEY</t>
  </si>
  <si>
    <t>LISPN - LIS PENDENS FILED: CERTIFICATION THAT THIS ACTION INVOLVES TITLE TO REAL ESTATE. PRAECIPE TO INDEX LIS PENDENS AS TO PREMISES 221 APSLEY, PHILADELPHIA.</t>
  </si>
  <si>
    <t>2022-11-30 12:39:00</t>
  </si>
  <si>
    <t>PHILADELPHIA COMMUNITY GROWTH, INC VS AHMAD ETAL</t>
  </si>
  <si>
    <t>AHMAD, SABINA</t>
  </si>
  <si>
    <t>LEVY, BART E; LOUGHMAN, PAMELA M</t>
  </si>
  <si>
    <t>1936 S CROSKEY</t>
  </si>
  <si>
    <t>PRSDE - PRAEC/SETTLE DISCONTINUE END: SETTLED VIA S D &amp; E PRAECIPE FILED. (FILED ON BEHALF OF PHILADELPHIA COMMUNITY GROWTH INC)</t>
  </si>
  <si>
    <t>2023-09-01 16:13:00</t>
  </si>
  <si>
    <t>SCIOLI TURCO, INC. VS TEPPERT ETAL</t>
  </si>
  <si>
    <t>TEPPERT, ROBERT J</t>
  </si>
  <si>
    <t>432 E GIRARD AVENUE</t>
  </si>
  <si>
    <t>M0442 - PET-APPT CONSERVATOR-ACT 135: 11-23090311 PET-APPT CONSERVATOR-ACT 135 (FILED ON BEHALF OF SCIOLI TURCO, INC..)</t>
  </si>
  <si>
    <t>2017-06-22 17:13:00</t>
  </si>
  <si>
    <t>211 N. 13TH STREET ASSOCIATES VS 13TH STREET HOSPI</t>
  </si>
  <si>
    <t>211 N. 13TH STREET ASSOCIATES</t>
  </si>
  <si>
    <t>FELLHEIMER, ALAN S</t>
  </si>
  <si>
    <t>13TH STREET HOSPITALITY LLC</t>
  </si>
  <si>
    <t>KEARNEY, JOHN B; SCHWARTZ, BARBARA A</t>
  </si>
  <si>
    <t>228-238 N 13TH</t>
  </si>
  <si>
    <t>ZRDSC - PRAECIPE TO DISCONTINUE: ORDER TO DISCONTINUE WITHOUT PREJUDICE FILED. (FILED ON BEHALF OF 211 N. 13TH STREET ASSOCIATES)</t>
  </si>
  <si>
    <t>2017-02-17 11:18:00</t>
  </si>
  <si>
    <t>5TH STREET HOLDINGS LLC VS COLMON ETAL</t>
  </si>
  <si>
    <t>5TH STREET HOLDINGS LLC; KTS PROPERTIES I LLC</t>
  </si>
  <si>
    <t>COLMON, WANDA; MAZUZ, HAIA; MAZUZ, MEIR</t>
  </si>
  <si>
    <t>KOVAN, CHRISTINE M; WILSON, SHARON</t>
  </si>
  <si>
    <t>5031 PENTRIDGE STREET</t>
  </si>
  <si>
    <t>LISPR - RELEASE OF LIS PENDENS FILED: PRAECIPE TO RELEASE LIS PENDENS AS TO PREMISES 5031 PENTRIDGE STREET, PHILADELPHIA FILED. (FILED ON BEHALF OF KTS PROPERTIES I LLC)</t>
  </si>
  <si>
    <t>2022-02-02 16:06:00</t>
  </si>
  <si>
    <t>COLORADO REDEVELOPMENT LLC F/K/A CRUD LLC</t>
  </si>
  <si>
    <t>3028 FONTAIN STREET</t>
  </si>
  <si>
    <t>ZR236 - NOTICE GIVEN UNDER RULE 236: NOTICE GIVEN ON 22-JUN-2022 OF ORDER ENTERED/236 NOTICE GIVEN ENTERED ON 21-JUN-2022.</t>
  </si>
  <si>
    <t>2023-10-31 16:32:00</t>
  </si>
  <si>
    <t>COMMONWEALTH PRESERVATION ALLIANCE VS 6471 OVERBRO</t>
  </si>
  <si>
    <t>COMMONWEALTH PRESERVATION ALLIANCE</t>
  </si>
  <si>
    <t>SALOMON GNECCO, ANDREA</t>
  </si>
  <si>
    <t>6471 OVERBROOK AVENUE LLC</t>
  </si>
  <si>
    <t>6471 OVERBROOK AVE.</t>
  </si>
  <si>
    <t>LISPN - LIS PENDENS FILED: CERTIFICATION THAT THIS ACTION INVOLVES TITLE TO REAL ESTATE. PRAECIPE TO INDEX LIS PENDENS AS TO PREMISES 6471 OVERBROOK AVE., PHILADELPHIA.</t>
  </si>
  <si>
    <t>2017-11-15 18:29:00</t>
  </si>
  <si>
    <t>GLOBAL GIVINGS DEVELOPMENT CORPORATION VS PB HOLDI</t>
  </si>
  <si>
    <t>PB HOLDINGS LLC</t>
  </si>
  <si>
    <t>SOBEL ESQ, CRAIG B</t>
  </si>
  <si>
    <t>2050 WILDER</t>
  </si>
  <si>
    <t>PRSDE - PRAEC/SETTLE DISCONTINUE END: SETTLED VIA S D &amp; E PRAECIPE WITHOUT PREJUDICE FILED. (FILED ON BEHALF OF GLOBAL GIVINGS DEVELOPMENT CORPORATION)</t>
  </si>
  <si>
    <t>2014-07-07 17:02:00</t>
  </si>
  <si>
    <t>1436-44 GERMANTOWN AVENUE ASSOCIATES, L.L.C.  VS N</t>
  </si>
  <si>
    <t>1436-44 GERMANTOWN AVENUE ASSOCIATES LLC</t>
  </si>
  <si>
    <t>NEW BRIDGE FOUNDATION LLC</t>
  </si>
  <si>
    <t>PERRY, ROGER F</t>
  </si>
  <si>
    <t>1430 GERMANTOWN AVENUE</t>
  </si>
  <si>
    <t>LISPR - RELEASE OF LIS PENDENS FILED: PRAECIPE TO RELEASE LIS PENDENS AS TO PREMISES 1430 GERMANTOWN AVENUE, PHILADELPHIA FILED. (FILED ON BEHALF OF 1436-44 GERMANTOWN AVENUE ASSOCIATES, L.L.C.)</t>
  </si>
  <si>
    <t>2018-07-18 10:45:00</t>
  </si>
  <si>
    <t>GREYSTONE REAL ESTATE INVESTMENTS TRUST LLC</t>
  </si>
  <si>
    <t>58-60 W WASHINGTON LANE</t>
  </si>
  <si>
    <t>2018-08-27 20:05:00</t>
  </si>
  <si>
    <t>SCOTT ETAL VS RANDALL ETAL</t>
  </si>
  <si>
    <t>SCIOLI TURCO INC; SCOTT, SALLY</t>
  </si>
  <si>
    <t>RANDALL, SHANE</t>
  </si>
  <si>
    <t>WAKEFIELD, KATHRYN M; WISE, COREN J</t>
  </si>
  <si>
    <t>712 S 23RD STREET</t>
  </si>
  <si>
    <t>ZR236 - NOTICE GIVEN UNDER RULE 236: NOTICE GIVEN ON 07-DEC-2022 OF ORDER ENTERED - FINAL DISPOS ENTERED ON 07-DEC-2022.</t>
  </si>
  <si>
    <t>2023-11-22 13:10:00</t>
  </si>
  <si>
    <t>2269 N N. CLEVELAND STREET</t>
  </si>
  <si>
    <t>MTASN - MOTION ASSIGNED: 34-23115134 PET-APPT CONSERVATOR-ACT 135 ASSIGNED TO JUDGE: JUDGE, CONSERVATORSHIP . ON DATE: NOVEMBER 29, 2023</t>
  </si>
  <si>
    <t>2016-05-12 17:59:00</t>
  </si>
  <si>
    <t>PHILADELPHIA COMMUNITY DEVELOPMENT COALITION VS WI</t>
  </si>
  <si>
    <t>WILSON, EBONI L</t>
  </si>
  <si>
    <t>2318 GERRITT STREET</t>
  </si>
  <si>
    <t>2022-08-03 11:09:00</t>
  </si>
  <si>
    <t>MCPEAK, CARL</t>
  </si>
  <si>
    <t>2420 S WATTS STREET</t>
  </si>
  <si>
    <t>M0462 - LISTED-STAT CONF CONSERVATOR: 46-22080846 STATUS HEARING SCHEDULED FOR 6/23/2023 AT 11:30 A.M. IN COURTROOM 453, CITY HALL.</t>
  </si>
  <si>
    <t>2017-12-28 09:37:00</t>
  </si>
  <si>
    <t>ALLEN, OMOWUNNI</t>
  </si>
  <si>
    <t>1544 S 20TH STREET</t>
  </si>
  <si>
    <t>ZR236 - NOTICE GIVEN UNDER RULE 236: NOTICE GIVEN ON 31-AUG-2018 OF ORDER ENTERED - FINAL DISPOS ENTERED ON 30-AUG-2018.</t>
  </si>
  <si>
    <t>2016-04-22 12:21:00</t>
  </si>
  <si>
    <t>RAUM ETAL VS CORNISH ETAL</t>
  </si>
  <si>
    <t>RAUM, JOSEPHINE; RAUM, LELAND</t>
  </si>
  <si>
    <t>CORNISH JR., FRANK; UNKNOWN HEIRS OF FRANK H. CORNISH</t>
  </si>
  <si>
    <t>1936 WHARTON STREET</t>
  </si>
  <si>
    <t>M0378 - CORRECTION TO JUDGMENT INDEX: CORRECTION TO LOCALITY INDEX: LIS PENDENS VACATED PURSUANT TO COURT ORDER DATED 03/21/2017</t>
  </si>
  <si>
    <t>2018-07-27 13:50:00</t>
  </si>
  <si>
    <t>GLOBAL GIVINGS DEVELOPMENT CORPORATION VS MCKINZIE</t>
  </si>
  <si>
    <t>MCKINZIE, FLORICE</t>
  </si>
  <si>
    <t>1718 MOORE STREET</t>
  </si>
  <si>
    <t>LISPR - RELEASE OF LIS PENDENS FILED: PRAECIPE TO RELEASE LIS PENDENS AS TO PREMISES 1718 MOORE STREET FILED.</t>
  </si>
  <si>
    <t>2021-09-20 13:26:00</t>
  </si>
  <si>
    <t>BARNES ETAL VS ESTATE OF THOMAS JONES ETAL</t>
  </si>
  <si>
    <t>1537 TULPEHOCKEN LLC; BARNES, VERA</t>
  </si>
  <si>
    <t>ALL UNKNOWN HEIRS; JONES ESTATE OFTHOMAS</t>
  </si>
  <si>
    <t>1723 N 29TH STREET</t>
  </si>
  <si>
    <t>MAILR - RETURNED MAIL RECEIVED: RETURNED MAIL ORDER DATED 12/21/21 AS UNDELIVERABLE AT THE ADDRESS ON FILE WITH THE COURT TO THE FOLLOWING PARTY: ALL UNKNOWN HEIRS.</t>
  </si>
  <si>
    <t>2023-12-22 10:35:00</t>
  </si>
  <si>
    <t>PHILADELPHIA COMMUNITY GROWTH, INC. VS NGUYEN ETAL</t>
  </si>
  <si>
    <t>SALOMON GNECCO, ANDREA; TONER, PAUL J</t>
  </si>
  <si>
    <t>NGUYEN, DUC HOANG; NGUYEN, JOSEPH AN</t>
  </si>
  <si>
    <t>225 S 51ST STREET</t>
  </si>
  <si>
    <t>LISPN - LIS PENDENS FILED: CERTIFICATION THAT THIS ACTION INVOLVES TITLE TO REAL ESTATE. PRAECIPE TO INDEX LIS PENDENS AS TO PREMISES 225 S 51ST STREET, PHILADELPHIA.</t>
  </si>
  <si>
    <t>2014-07-12 15:10:00</t>
  </si>
  <si>
    <t>CHAMPAGNE VS RODRIGUEZ ETAL</t>
  </si>
  <si>
    <t>CITY OF PHILADELPHIA; RODRIGUEZ, JOSE; RODRIGUEZ, SARLI</t>
  </si>
  <si>
    <t>BELLER ESQ, JOSEPH; FINNERTY, MEGHAN K; MARTIN, MARY-KATE</t>
  </si>
  <si>
    <t>916 N 20TH STREET</t>
  </si>
  <si>
    <t>LISPR - RELEASE OF LIS PENDENS FILED: PRAECIPE TO RELEASE LIS PENDENS AS TO PREMISES 916 N 20TH STREET, PHILADELPHIA FILED. (FILED ON BEHALF OF DAVID CHAMPAGNE)</t>
  </si>
  <si>
    <t>2016-11-21 15:41:00</t>
  </si>
  <si>
    <t>PHILADELPHIA COMMUNITY DEVELOPMENT COALITION VS HI</t>
  </si>
  <si>
    <t>HINES ESTATE OF INCAPACITED PERSON, SHIRLEY</t>
  </si>
  <si>
    <t>1706-10 W SEYBERT STREET</t>
  </si>
  <si>
    <t>ZR236 - NOTICE GIVEN UNDER RULE 236: NOTICE GIVEN ON 27-SEP-2017 OF ORDER ENTERED - FINAL DISPOS ENTERED ON 26-SEP-2017.</t>
  </si>
  <si>
    <t>2014-12-23 17:07:00</t>
  </si>
  <si>
    <t>NGUYEN VS FOR THE PEOPLE HOUSING, LLC ETAL</t>
  </si>
  <si>
    <t>NGUYEN, TUNG</t>
  </si>
  <si>
    <t>FOR THE PEOPLE HOUSING LLC</t>
  </si>
  <si>
    <t>STAVRAKIS, CYNTHIA</t>
  </si>
  <si>
    <t>7224 GUYER AVENUE</t>
  </si>
  <si>
    <t>PRATT - PRAECIPE TO SUPPL/ATTACH FILED: 13-14123413 PRAECIPE TO SUPPLEMENT/ATTACH RE: PET-APPT CONSERVATOR-ACT 135 FILED. (FILED ON BEHALF OF TUNG NGUYEN)</t>
  </si>
  <si>
    <t>2013-11-04 16:24:00</t>
  </si>
  <si>
    <t>SCIOLI TURCO, INC. VS BIANTORO ETAL</t>
  </si>
  <si>
    <t>BIANTORO, WIKI</t>
  </si>
  <si>
    <t>1727-1731 SNYDER AVENUE</t>
  </si>
  <si>
    <t>LISPR - RELEASE OF LIS PENDENS FILED: PRAECIPE TO RELEASE LIS PENDENS AS TO PREMISES 1727-31 SNYDER AVENUE, PHILADELPHIA FILED. (FILED ON BEHALF OF SCIOLI TURCO, INC.)</t>
  </si>
  <si>
    <t>2021-02-23 13:04:00</t>
  </si>
  <si>
    <t>TACONY COMMUITY DEVELOPMENT CORP ETAL VS MARY BARB</t>
  </si>
  <si>
    <t>COMMONWEALTH PRESERVATION ALLIANCE; TACONY COMMUITY DEVELOPMENT CORPORATION</t>
  </si>
  <si>
    <t>ALDERFER, SARAH; MCILHINNEY, MICHAEL P; OLEN, ANDREW; PFIRRMAN, JOHN ROBERT; TONER, PAUL J</t>
  </si>
  <si>
    <t>MARY BARBARA AMBROSE-CURTIS EXECUTRIX</t>
  </si>
  <si>
    <t>7010 HEGERMAN STREET</t>
  </si>
  <si>
    <t>ZR236 - NOTICE GIVEN UNDER RULE 236: NOTICE GIVEN ON 30-SEP-2022 OF ORDER ENTERED - FINAL DISPOS ENTERED ON 30-SEP-2022.</t>
  </si>
  <si>
    <t>2019-08-30 12:51:00</t>
  </si>
  <si>
    <t>SCIOLITURCO, INC VS O'CONNELL ETAL</t>
  </si>
  <si>
    <t>SCIOLITURCO INC</t>
  </si>
  <si>
    <t>OCONNELL, ELISABETH; OCONNELL III, JOHN J</t>
  </si>
  <si>
    <t>MACHLES, ARNOLD</t>
  </si>
  <si>
    <t>752 S MILDRED</t>
  </si>
  <si>
    <t>022268400</t>
  </si>
  <si>
    <t>M0378 - CORRECTION TO JUDGMENT INDEX: CORRECTION TO IN REM INDEX: THE LIS PENDENS AGAINST 752 SOUTH MILDRED STREET IS LIFTED PURSUANT TO COURT ORDER DATED 3/4/20.  IN REM INDEX UPDATED ON 3/10/20.</t>
  </si>
  <si>
    <t>2017-01-31 17:48:00</t>
  </si>
  <si>
    <t>MT. AIRY USA VS TRACY ETAL</t>
  </si>
  <si>
    <t>BINDER, BRET M; CAMERON 316, ROGER P</t>
  </si>
  <si>
    <t>TRACY, ANITA T; TRACY, DAVID L</t>
  </si>
  <si>
    <t>5116 NEWHALL STREET</t>
  </si>
  <si>
    <t>ORDMN - COURT ORDERED PAYOUT OF ESCROW: CHECK# 009017 IN THE AMOUNT OF $40,000.00 WAS DISBURSED TO BRET M BINDER</t>
  </si>
  <si>
    <t>2021-04-15 16:56:00</t>
  </si>
  <si>
    <t>REGAN VS DOAN ETAL</t>
  </si>
  <si>
    <t>REGAN, KEITH</t>
  </si>
  <si>
    <t>DOAN, QUOC T</t>
  </si>
  <si>
    <t>YOUNG ESQ, KENNETH A</t>
  </si>
  <si>
    <t>778 S 18TH</t>
  </si>
  <si>
    <t>PRSDE - PRAEC/SETTLE DISCONTINUE END: SETTLED VIA S D &amp; E PRAECIPE FILED. (FILED ON BEHALF OF KEITH REGAN)</t>
  </si>
  <si>
    <t>2014-08-14 16:21:00</t>
  </si>
  <si>
    <t>325 W GIRARD AVENUE</t>
  </si>
  <si>
    <t>2023-10-30 16:33:00</t>
  </si>
  <si>
    <t>SCIOLI TURCO, INC. VS SNYDER ETAL</t>
  </si>
  <si>
    <t>ALL UNKNOWN HEIRS; ARROW, ARLENE; SNYDER, THEODORE</t>
  </si>
  <si>
    <t>CAPONE, JOSEPH P</t>
  </si>
  <si>
    <t>9-11 S 02ND STREET</t>
  </si>
  <si>
    <t>AFDVT - AFFIDAVIT OF SERVICE FILED: AFFIDAVIT OF SERVICE OF NOTICE OF FILING PETITION FOR CONSERVATOR UPON THEODORE SNYDER, ARLENE ARROW AND ALL UNKNOWN HEIRS BY POSTING PREMISES ON 11/15/2023 FILED. (FILED ON BEHALF OF SCIOLI TURCO INC)</t>
  </si>
  <si>
    <t>2022-09-09 09:35:00</t>
  </si>
  <si>
    <t>PHILADELPHIA COMMUNITY GROWTH, INC. VS JABY HOLDIN</t>
  </si>
  <si>
    <t>JABY HOLDING COMPANY</t>
  </si>
  <si>
    <t>4225 LANCASTER AVENUE</t>
  </si>
  <si>
    <t>MAILR - RETURNED MAIL RECEIVED: RETURNED MAIL ORDER DATED 9/20/22 AS UNDELIVERABLE AT THE ADDRESS ON FILE WITH THE COURT TO THE FOLLOWING PARTY: JABY HOLDING COMPANY.</t>
  </si>
  <si>
    <t>2023-11-15 12:51:00</t>
  </si>
  <si>
    <t>WILLIAMS VS CITY OF PHILADELPHIA ETAL</t>
  </si>
  <si>
    <t>1701-15 W CAYUGA ST</t>
  </si>
  <si>
    <t>MTASN - MOTION ASSIGNED: 54-23113754 PET-APPT CONSERVATOR-ACT 135 ASSIGNED TO JUDGE: JUDGE, CONSERVATORSHIP . ON DATE: NOVEMBER 17, 2023</t>
  </si>
  <si>
    <t>2018-01-05 11:40:00</t>
  </si>
  <si>
    <t>GLOBAL GIVINGS DEVELOPMENT CORPORATION VS THE ESTA</t>
  </si>
  <si>
    <t>ALL UNKNOWN HEIRS; HOWARD ESTATE OF, JOHN L</t>
  </si>
  <si>
    <t>3610 SEARS STREET</t>
  </si>
  <si>
    <t>MAILR - RETURNED MAIL RECEIVED: RETURNED MAIL ON 8/16/18 AS UNDELIVERABLE AT THE ADDRESS ON FILE WITH THE COURT TO THE FOLLOWING PARTIES:  UNKNOWN HEIRS &amp; ESTATE OF JOHN L HOWARD CAUSED THESE PARTIES TO BE ENDED ON THIS DOCKET IN ERROR. ANY ORDERS AND NOTICES SENT BY THE COURT ON OR AFTER 8/16/18  WERE NOT PROCESSED FOR THESE PARTIES DUE TO THE DOCKETING ERROR.  THE PARTY HAS BEEN REACTIVATED ON THE DOCKET EFFECTIVE 10/31/18.  NMM/QA</t>
  </si>
  <si>
    <t>2017-11-22 09:51:00</t>
  </si>
  <si>
    <t>SELECT NEIGHBORHOODS, INC. VS MARABLE ETAL</t>
  </si>
  <si>
    <t>SELECT NEIGHBORHOODS INC</t>
  </si>
  <si>
    <t>MARABLE, LAWRENCE; TROY, ETHEL</t>
  </si>
  <si>
    <t>5230 WALTON</t>
  </si>
  <si>
    <t>ZRDSC - PRAECIPE TO DISCONTINUE: ORDER TO DISCONTINUE WITHOUT PREJUDICE FILED. (FILED ON BEHALF OF SELECT NEIGHBORHOODS INC)</t>
  </si>
  <si>
    <t>2015-08-28 11:08:00</t>
  </si>
  <si>
    <t>PC2 L.L.C. VS ALLEN ETAL</t>
  </si>
  <si>
    <t>PC2 LLC</t>
  </si>
  <si>
    <t>ALLEN, BARBARA; ALLEN YOUNG, DOUGLAS</t>
  </si>
  <si>
    <t>FELICIANI III, ROBERT L</t>
  </si>
  <si>
    <t>7110 GERMANTOWN AVENUE</t>
  </si>
  <si>
    <t>092081310</t>
  </si>
  <si>
    <t>PRSDE - PRAEC/SETTLE DISCONTINUE END: SETTLED VIA S D &amp; E PRAECIPE FILED. (FILED ON BEHALF OF PC2 L.L.C.)</t>
  </si>
  <si>
    <t>2023-11-15 11:48:00</t>
  </si>
  <si>
    <t>WILLIAMS VS SKIPWORTH ETAL</t>
  </si>
  <si>
    <t>SKIPWORTH, KHALILAH</t>
  </si>
  <si>
    <t>700 W ROOSEVELT BLVD PHILA PA. 19104</t>
  </si>
  <si>
    <t>MTASN - MOTION ASSIGNED: 16-23113716 PET-APPT CONSERVATOR-ACT 135 ASSIGNED TO JUDGE: JUDGE, CONSERVATORSHIP . ON DATE: NOVEMBER 17, 2023</t>
  </si>
  <si>
    <t>2020-10-20 17:00:00</t>
  </si>
  <si>
    <t xml:space="preserve">GLOBAL GIVINGS DEVELOPMENT CORPORATION VS JACKSON </t>
  </si>
  <si>
    <t>JACKSON, MICHAEL STEPHEN</t>
  </si>
  <si>
    <t>JACKSON, MICHAEL S</t>
  </si>
  <si>
    <t>919 S 17TH STREET</t>
  </si>
  <si>
    <t>LISPR - RELEASE OF LIS PENDENS FILED: PRAECIPE TO RELEASE LIS PENDENS AS TO PREMISES 919 S 17TH STREET, PHILADELPHIA FILED. (FILED ON BEHALF OF GLOBAL GIVINGS DEVELOPMENT CORPORATION)</t>
  </si>
  <si>
    <t>2012-08-27 11:39:00</t>
  </si>
  <si>
    <t>WAHL VS WILLIAMS ETAL</t>
  </si>
  <si>
    <t>WAHL, MATTHEW</t>
  </si>
  <si>
    <t>WILLIAMS SR., WAYMOND</t>
  </si>
  <si>
    <t>848 PERKIOMEN</t>
  </si>
  <si>
    <t>ZRDSC - PRAECIPE TO DISCONTINUE: ORDER TO DISCONTINUE WITHOUT PREJUDICE FILED. (FILED ON BEHALF OF MATTHEW WAHL)</t>
  </si>
  <si>
    <t>2021-11-22 11:35:00</t>
  </si>
  <si>
    <t xml:space="preserve">PHILADELPHIA COMMUNITY GROWTH, INC. VS 2403 GRAYS </t>
  </si>
  <si>
    <t>PFIRRMAN, JOHN ROBERT; TONER, PAUL J</t>
  </si>
  <si>
    <t>2403 GRAYS FERRY ASSOCIATES LP</t>
  </si>
  <si>
    <t>ANASTASIO, VERN; COOK, HARRY B</t>
  </si>
  <si>
    <t>2403 GRAYS FERRY AVENUE</t>
  </si>
  <si>
    <t>LISPR - RELEASE OF LIS PENDENS FILED: PRAECIPE TO RELEASE LIS PENDENS AS TO PREMISES 2403 GRAYS FERRY AVENUE, PHILADELPHIA, PA 19146 FILED.</t>
  </si>
  <si>
    <t>2019-01-04 14:21:00</t>
  </si>
  <si>
    <t>ZHANG, WENLONG</t>
  </si>
  <si>
    <t>KRIK, JUSTIN L; SMITH, EDWARD J</t>
  </si>
  <si>
    <t>1320 S 48TH STREET</t>
  </si>
  <si>
    <t>ZR236 - NOTICE GIVEN UNDER RULE 236: NOTICE GIVEN ON 06-OCT-2020 OF ORDER ENTERED - FINAL DISPOS ENTERED ON 05-OCT-2020.</t>
  </si>
  <si>
    <t>2022-11-18 14:33:00</t>
  </si>
  <si>
    <t>SCIOLI TURCO, INC. VS GOTHAM PROPERTIES, LLC ETAL</t>
  </si>
  <si>
    <t>GOTHAM PROPERTIES LLC</t>
  </si>
  <si>
    <t>MCELHATTON, DANIEL P</t>
  </si>
  <si>
    <t>843 ALMOND STREET</t>
  </si>
  <si>
    <t>2018-07-30 12:50:00</t>
  </si>
  <si>
    <t>GLOBAL GIVINGS DEVELOPMENT CORPORATION VS OLLIVIER</t>
  </si>
  <si>
    <t>OLLIVIERRE, RUDOLPH</t>
  </si>
  <si>
    <t>1313 S 19TH STREET</t>
  </si>
  <si>
    <t>M0378 - CORRECTION TO JUDGMENT INDEX: CORRECTION TO LOCALITY INDEX: LIS PENDENS VACATED PURSUANT TO COURT ORDER DATED 10/15/2018. INDEX UPDATED ON 10/17/2018</t>
  </si>
  <si>
    <t>2016-07-15 10:42:00</t>
  </si>
  <si>
    <t>PHILADELPHIA COMMUNITY DEVELOPMENT COALITION VS PO</t>
  </si>
  <si>
    <t>KLEIN, JARED N; MCILHINNEY, MICHAEL P; TONER, PAUL J</t>
  </si>
  <si>
    <t>POLLARD, MYRA L</t>
  </si>
  <si>
    <t>2342 GERRITT STREET</t>
  </si>
  <si>
    <t>2018-07-06 14:24:00</t>
  </si>
  <si>
    <t>PA NEIGHBORHOOD DEVELOPMENT PARTNERSHIP VS RUSH ET</t>
  </si>
  <si>
    <t>GREENFIELD-RUSH, VIVIAN P; REDEVELOPMENT AUTHORITY OF THE CITY OF PHILADELPHIA; RUSH JR., JAMES BRISTOL</t>
  </si>
  <si>
    <t>RUSHIE, A JORDAN</t>
  </si>
  <si>
    <t>1208 N TAYLOR STREET</t>
  </si>
  <si>
    <t>ZR236 - NOTICE GIVEN UNDER RULE 236: NOTICE GIVEN ON 04-MAR-2019 OF ORDER ENTERED - FINAL DISPOS ENTERED ON 01-MAR-2019.</t>
  </si>
  <si>
    <t>2014-08-11 14:12:00</t>
  </si>
  <si>
    <t>INNOVA REDEVELOPMENT, L.L.C  VS INMAN ETAL</t>
  </si>
  <si>
    <t>INNOVA REDEVELOPMENT LLC</t>
  </si>
  <si>
    <t>INMAN, ANN; INMAN, DAYONA; INMAN JR, RODDERICK</t>
  </si>
  <si>
    <t>1612 S 17TH STREET</t>
  </si>
  <si>
    <t>ORDRF - ORDER ENTERED - FINAL DISPOS: SEE ORDER ISSUED ON 10/26/2015 BY JUDGE NEW...   JPE/CAO</t>
  </si>
  <si>
    <t>2022-08-24 14:19:00</t>
  </si>
  <si>
    <t>HANNAH, GREGORY</t>
  </si>
  <si>
    <t>LADD, KRISTEN W</t>
  </si>
  <si>
    <t>1728 S CLEVELAND STREET</t>
  </si>
  <si>
    <t>2018-05-23 15:44:00</t>
  </si>
  <si>
    <t>PHILLYDEEDS, LLC VS ANNETTE PHILLIPS, ADMINISTRATO</t>
  </si>
  <si>
    <t>PHILLYDEEDS LLC</t>
  </si>
  <si>
    <t>MCILHINNEY, MICHAEL P; WISE, COREN J</t>
  </si>
  <si>
    <t>ANNETTE PHILLIPS ADMINISTRATOR ESTATE OF HENRY NAYLOR</t>
  </si>
  <si>
    <t>2532 N 18TH STREET</t>
  </si>
  <si>
    <t>JDORF - JUDGMENT-COURT ORDER FINAL DIS: PRAECIPE FOR ENTRY OF JUDGMENT FILED. 
CERTIFICATE OF SERVICE FILED. NOTICE UNDER RULE 236. 
JUDGMENT IS ENTERED IN FAVOR OF PHILLYDEEDS LLC AND AGAINST ANNETTE PHILLIPS ADMINISTRATOR ESTATE OF HENRY NAYLOR IN THE AMOUNT OF $37,991.87 ON THE COURT ORDER DATED 06/21/2021.</t>
  </si>
  <si>
    <t>2018-07-09 14:59:00</t>
  </si>
  <si>
    <t>GLOBAL GIVINGS DEVELOPMENT CORPORATION VS THE MILL</t>
  </si>
  <si>
    <t>BRIJLALL REALTY CORPORATION; MILLAN GROUP LLC</t>
  </si>
  <si>
    <t>BARENBAUM, EVAN; JONES, DANIEL P</t>
  </si>
  <si>
    <t>2123 MOUNTAIN STREET</t>
  </si>
  <si>
    <t>ZR236 - NOTICE GIVEN UNDER RULE 236: NOTICE GIVEN ON 25-JAN-2019 OF ORDER ENTERED/236 NOTICE GIVEN ENTERED ON 24-JAN-2019.</t>
  </si>
  <si>
    <t>2015-08-20 12:41:00</t>
  </si>
  <si>
    <t>MATHEW VS SIMMONS ETAL</t>
  </si>
  <si>
    <t>MATHEW, JOSHUA E</t>
  </si>
  <si>
    <t>MCPHERSON, SHELIA; SIMMONS, JAMES E</t>
  </si>
  <si>
    <t>LEVY, BART E</t>
  </si>
  <si>
    <t>1616 BROWN STREET</t>
  </si>
  <si>
    <t>LISPR - RELEASE OF LIS PENDENS FILED: PRAECIPE TO RELEASE LIS PENDENS AS TO PREMISES 1616 BROWN STREET, PHILADELPHIA FILED. (FILED ON BEHALF OF JOSHUA E MATHEW)</t>
  </si>
  <si>
    <t>2017-04-10 16:15:00</t>
  </si>
  <si>
    <t>REXACH, CARLOS A; ROCA, ANGELES</t>
  </si>
  <si>
    <t>628 MASTER STREET</t>
  </si>
  <si>
    <t>2021-09-07 14:03:00</t>
  </si>
  <si>
    <t>ROZIER VS MAROSH, LLC ETAL</t>
  </si>
  <si>
    <t>ROZIER, GERRON D</t>
  </si>
  <si>
    <t>ALMIDANI, MARWAH; MAROSH LLC</t>
  </si>
  <si>
    <t>GROSS, JAMES N</t>
  </si>
  <si>
    <t>6001 N WOODSTOCK STREET</t>
  </si>
  <si>
    <t>ZR236 - NOTICE GIVEN UNDER RULE 236: NOTICE GIVEN ON 13-JUN-2023 OF ORDER ENTERED - FINAL DISPOS ENTERED ON 13-JUN-2023.</t>
  </si>
  <si>
    <t>2013-04-05 12:25:00</t>
  </si>
  <si>
    <t>ARRIVELLO VS AGEE</t>
  </si>
  <si>
    <t>ARRIVELLO, STEPHEN</t>
  </si>
  <si>
    <t>AGEE, ANN M</t>
  </si>
  <si>
    <t>2330 ST. ALBANS STREET</t>
  </si>
  <si>
    <t>DISPO - DISPOSED -  CASE CLOSED: CASE IS DISPOSED. SEE ORDER RELATED TO CONTROL NUMBER 13040998 DATED 5/2/2014. JPE/CAO</t>
  </si>
  <si>
    <t>2024-01-05 17:18:00</t>
  </si>
  <si>
    <t>SCIOLI TURCO, INC. VS ZUNA ETAL</t>
  </si>
  <si>
    <t>SCIOLI TURCO, INC.</t>
  </si>
  <si>
    <t>ZUNA, EDI</t>
  </si>
  <si>
    <t>6515 TORRESDALE AVENUE</t>
  </si>
  <si>
    <t>LISPN - LIS PENDENS FILED: CERTIFICATION THAT THIS ACTION INVOLVES TITLE TO REAL ESTATE. PRAECIPE TO INDEX LIS PENDENS AS TO PREMISES 6515 TORRESDALE AVENUE, PHILADELPHIA.</t>
  </si>
  <si>
    <t>2018-04-17 14:59:00</t>
  </si>
  <si>
    <t>GLOBAL GIVINGS DEVELOPMENT CORPORATION VS GOINS ET</t>
  </si>
  <si>
    <t>GOINS, WINNIFRED A</t>
  </si>
  <si>
    <t>ZRDSC - PRAECIPE TO DISCONTINUE: ORDER TO DISCONTINUE WITHOUT PREJUDICE FILED. (FILED ON BEHALF OF GLOBAL GIVINGS DEVELOPMENT CORPORATION)</t>
  </si>
  <si>
    <t>2023-11-14 16:30:00</t>
  </si>
  <si>
    <t>WILLIAMS VS TWILIGHT INC ETAL</t>
  </si>
  <si>
    <t>TWILIGHT INC</t>
  </si>
  <si>
    <t>3621 OLIVE</t>
  </si>
  <si>
    <t>MTASN - MOTION ASSIGNED: 02-23113802 PET-APPT CONSERVATOR-ACT 135 ASSIGNED TO JUDGE: JUDGE, CONSERVATORSHIP . ON DATE: NOVEMBER 17, 2023</t>
  </si>
  <si>
    <t>2019-08-01 12:20:00</t>
  </si>
  <si>
    <t>SCIOLI TURCO, INC VS GSS TOURS, INC.  ETAL</t>
  </si>
  <si>
    <t>GSS TOURS AND GSS TOURS INC; GSS TOURS INC; PANNELLA, LOUIS A; PIERRON, THOMAS</t>
  </si>
  <si>
    <t>6807 TORRESDALE</t>
  </si>
  <si>
    <t>DISPO - DISPOSED -  CASE CLOSED: 14-19080214  SEE ORDER ENTERED UNDER SAID CONTROL NUMBER TEMINATING THE CONSERVATORSHIP ACTION.</t>
  </si>
  <si>
    <t>2022-02-14 17:10:00</t>
  </si>
  <si>
    <t>SCIOLI TURCO, INC. VS ELLIS ETAL</t>
  </si>
  <si>
    <t>ELLIS, EDWARD E</t>
  </si>
  <si>
    <t>5245 WALTON AVENUE</t>
  </si>
  <si>
    <t>ZR236 - NOTICE GIVEN UNDER RULE 236: NOTICE GIVEN ON 26-JUN-2023 OF ORDER ENTERED - FINAL DISPOS ENTERED ON 26-JUN-2023.</t>
  </si>
  <si>
    <t>2012-06-06 12:19:00</t>
  </si>
  <si>
    <t>RAZA VS WILSON ETAL</t>
  </si>
  <si>
    <t>WILSON, CHARLENE</t>
  </si>
  <si>
    <t>SCHWARTZ, WILLIAM G; SEIDMAN, DAVID</t>
  </si>
  <si>
    <t>2026 REED STREET</t>
  </si>
  <si>
    <t>DISPO - DISPOSED -  CASE CLOSED: 00-12081900   SEE ORDERED DOCKETED UNDER SAID CONTROL NUMBER GRANTING RESPONDENT'S MOTION TO DISMSS.</t>
  </si>
  <si>
    <t>2022-05-11 16:35:00</t>
  </si>
  <si>
    <t>KELLY VS THE ESTATE OF EDMUND WERWINSKI ETAL</t>
  </si>
  <si>
    <t>KELLY, KEVIN</t>
  </si>
  <si>
    <t>ALL UNKNOWN HEIRS; WERWINSKI ESTATE OF, EDMUND</t>
  </si>
  <si>
    <t>2530 E MONMOUTH STREET</t>
  </si>
  <si>
    <t>M0444 - LISTED-HRNG CONSERVATOR ACT: 75-22052275 EVIDENITARY HEARING SCHEDULED FOR 6/21/2023 AT 9:30 A.M. IN COURTROOM 453, CITY HALL.</t>
  </si>
  <si>
    <t>2020-07-28 16:41:00</t>
  </si>
  <si>
    <t>CENTENNIAL PARKSIDE CDC VS VOLTAIRE ETAL</t>
  </si>
  <si>
    <t>VOLTAIRE, GARRY N</t>
  </si>
  <si>
    <t>AMAZAN, CLEMENTA; KLYASHTORNY, NATALIE; MARTIN, MARY-KATE; NOCHUMSON, ALAN</t>
  </si>
  <si>
    <t>1515 BELMONT</t>
  </si>
  <si>
    <t>WTAPP - WITHDRAWAL/ENTRY OF APPEARANCE: WITHDRAWAL OF APPEARANCE OF PETER CARR AND ENTRY OF APPEARANCE OF SAMUEL H RITTERMAN FILED. (FILED ON BEHALF OF CENTENNIAL PARKSIDE CDC)</t>
  </si>
  <si>
    <t>2023-07-18 17:30:00</t>
  </si>
  <si>
    <t>SCIOLI TURCO, INC. VS GOSNELL ETAL</t>
  </si>
  <si>
    <t>GOSNELL, K B</t>
  </si>
  <si>
    <t>3801-3805 LANCASTER AVENUE</t>
  </si>
  <si>
    <t>LISPN - LIS PENDENS FILED: CERTIFICATION THAT THIS ACTION INVOLVES TITLE TO REAL ESTATE. PRAECIPE TO INDEX LIS PENDENS AS TO PREMISES 3801-3805 LANCASTER AVENUE, PHILADELPHIA.</t>
  </si>
  <si>
    <t>2018-01-04 10:04:00</t>
  </si>
  <si>
    <t>INNOVA SERVICES CORPORATION VS DU ETAL</t>
  </si>
  <si>
    <t>DU, EVON N</t>
  </si>
  <si>
    <t>JASKOWIAK, DAVID A</t>
  </si>
  <si>
    <t>1511 S CHADWICK STREET</t>
  </si>
  <si>
    <t>ZR236 - NOTICE GIVEN UNDER RULE 236: NOTICE GIVEN ON 18-MAY-2018 OF ORDER ENTERED - FINAL DISPOS ENTERED ON 18-MAY-2018.</t>
  </si>
  <si>
    <t>2019-05-03 17:58:00</t>
  </si>
  <si>
    <t>PHILADELPHIA COMMUNITY DEVELOPMENT CORPORATION, IN</t>
  </si>
  <si>
    <t>ALDERFER, SARAH</t>
  </si>
  <si>
    <t>THOMAS, JOSEPH E</t>
  </si>
  <si>
    <t>2507 MASTER</t>
  </si>
  <si>
    <t>2016-06-27 14:45:00</t>
  </si>
  <si>
    <t>SCIOLI TURCO, INC. VS FLOSSIE HOLMES AND ALL UNKNO</t>
  </si>
  <si>
    <t>FLOSSIE HOLMES AND ALL UNKNOWN HEIRS</t>
  </si>
  <si>
    <t>4253 VIOLA STREET</t>
  </si>
  <si>
    <t>062215800</t>
  </si>
  <si>
    <t>PRSDE - PRAEC/SETTLE DISCONTINUE END: SETTLED VIA S D &amp; E PRAECIPE FILED. (FILED ON BEHALF OF SCIOLI TURCO, INC.)</t>
  </si>
  <si>
    <t>2019-09-06 10:09:00</t>
  </si>
  <si>
    <t>GAMAL A HASAN, TRUSTEE IN TRUST FOR THE NATIONAL MUSLIM IMPR</t>
  </si>
  <si>
    <t>AVERETT, DAVID J</t>
  </si>
  <si>
    <t>2336 CECIL B. MOORE AVENUE</t>
  </si>
  <si>
    <t>LISPR - RELEASE OF LIS PENDENS FILED: PRAECIPE TO RELEASE LIS PENDENS AS TO PREMISES 2336 CECIL B MOORE AVENUE, PHILADELPHIA FILED. (FILED ON BEHALF OF PHILADELPHIA COMMUNITY DEVELOPMENT COALITION INC)</t>
  </si>
  <si>
    <t>2017-10-25 12:19:00</t>
  </si>
  <si>
    <t>CHRISTIAN MISSION BAPTIST CHURCH</t>
  </si>
  <si>
    <t>2131-33 W SEYBERT STREET</t>
  </si>
  <si>
    <t>2021-08-06 12:03:00</t>
  </si>
  <si>
    <t>PA NEIGHBORHOOD DEVELOPMENT PARTNERSHIP VS YAO ETA</t>
  </si>
  <si>
    <t>YAO, NUNOO E</t>
  </si>
  <si>
    <t>COHEN, FAYE R</t>
  </si>
  <si>
    <t>5109 HADFIELD STREET</t>
  </si>
  <si>
    <t>MTANS - ANSWER (MOTION/PETITION) FILED: 52-21081252 ANSWER IN OPPOSITION OF PET-APPT CONSERVATOR-ACT 135 FILED. (FILED ON BEHALF OF NUNOO E YAO)</t>
  </si>
  <si>
    <t>2013-11-12 16:39:00</t>
  </si>
  <si>
    <t>SCIOLI TURCO, INC. VS PRESTON ETAL</t>
  </si>
  <si>
    <t>BROWN, PRESTON; CAMPBELL ADMINISTRATOR, DARRELL; WRIGHT, KEVIN</t>
  </si>
  <si>
    <t>BEMBRY III, ROBERT H; VANDERMARK, JEREMIAH J; WISE, COREN J</t>
  </si>
  <si>
    <t>2025 FITZWATER</t>
  </si>
  <si>
    <t>ZR236 - NOTICE GIVEN UNDER RULE 236: NOTICE GIVEN ON 31-MAY-2018 OF ORDER ENTERED/236 NOTICE GIVEN ENTERED ON 31-MAY-2018.</t>
  </si>
  <si>
    <t>2022-03-29 16:42:00</t>
  </si>
  <si>
    <t>SCIOLI TURCO, INC. VS 627 S. 49TH STREET, LLC ETAL</t>
  </si>
  <si>
    <t>2020-01-16 15:00:00</t>
  </si>
  <si>
    <t>PA NEIGHBORHOOD DEVELOPMENT PARTNERSHIP VS MZZ LUC</t>
  </si>
  <si>
    <t>MZZ LUCKY LLC</t>
  </si>
  <si>
    <t>KAO, TARA P</t>
  </si>
  <si>
    <t>2128 N 09TH ST</t>
  </si>
  <si>
    <t>LISPR - RELEASE OF LIS PENDENS FILED: PRAECIPE TO RELEASE LIS PENDENS AS TO PREMISES 2128 N 9TH STREET, PHILADELPHIA FILED. (FILED ON BEHALF OF PA NEIGHBORHOOD DEVELOPMENT PARTNERSHIP)</t>
  </si>
  <si>
    <t>2018-01-04 10:23:00</t>
  </si>
  <si>
    <t>PACER PROPERTIES, LLC VS THE ESTATE OF HARRY MONAG</t>
  </si>
  <si>
    <t>PACER PROPERTIES LLC</t>
  </si>
  <si>
    <t>ALL UNKNOWN HEIRS; MONAGHAN ESTATE OF, HARRY; MONAGHAN ESTATE OF, SARAH</t>
  </si>
  <si>
    <t>2634 GERRITT STREET</t>
  </si>
  <si>
    <t>LISPR - RELEASE OF LIS PENDENS FILED: PRAECIPE TO RELEASE LIS PENDENS AS TO PREMISES 2634 GERRITT STREET, PHILADELPHIA FILED. (FILED ON BEHALF OF PACER PROPERTIES LLC)
ENTRY OF APPEARANCE FILED ON BEHALF OF PACER PROPERTIES LLC.</t>
  </si>
  <si>
    <t>2018-09-24 16:30:00</t>
  </si>
  <si>
    <t>HANNAH JR., CHARLES; UNKNOWN HEIRS OF BARBARA J HANNAH; UNKNOWN HEIRS OF CHARLES HANNA JR</t>
  </si>
  <si>
    <t>MCCABE, CHRISTOPHER I</t>
  </si>
  <si>
    <t>2738 FEDERAL STREET</t>
  </si>
  <si>
    <t>LISPR - RELEASE OF LIS PENDENS FILED: PRAECIPE TO RELEASE LIS PENDENS AS TO PREMISES 2738 FEDERAL STREET, PHILADELPHIA FILED. (FILED ON BEHALF OF PHILADELPHIA COMMUNITY DEVELOPMENT COALITION INC)</t>
  </si>
  <si>
    <t>2016-07-29 17:03:00</t>
  </si>
  <si>
    <t>SCIOLI TURCO, INC. VS MARY KOSTIUK, ADMINISTRATRIX</t>
  </si>
  <si>
    <t>HRYCIW, OLGA; MARY KOSTIUK, ADMINISTRATRIX OF THE ESTATE OF ULANA HRYCIW</t>
  </si>
  <si>
    <t>4821 HOWELL STREET</t>
  </si>
  <si>
    <t>LISPR - RELEASE OF LIS PENDENS FILED: PRAECIPE TO RELEASE LIS PENDENS AS TO PREMISES 4821 HOWELL STREET, PHILADELPHIA FILED. (FILED ON BEHALF OF SCIOLI TURCO, INC.)</t>
  </si>
  <si>
    <t>2023-11-14 17:08:00</t>
  </si>
  <si>
    <t>WILLIAMS VS WRIGHT ETAL</t>
  </si>
  <si>
    <t>WILLIAMS, JAMAR</t>
  </si>
  <si>
    <t>WRIGHT, KEVIN J</t>
  </si>
  <si>
    <t>3801 HAVERFORD AVE</t>
  </si>
  <si>
    <t>MTASN - MOTION ASSIGNED: 04-23113804 PET-APPT CONSERVATOR-ACT 135 ASSIGNED TO JUDGE: JUDGE, CONSERVATORSHIP . ON DATE: NOVEMBER 17, 2023</t>
  </si>
  <si>
    <t>2018-11-29 15:59:00</t>
  </si>
  <si>
    <t>41 BROWN, LLC VS 809 NORTH 41ST STREET, LLC ETAL</t>
  </si>
  <si>
    <t>809 NORTH 41ST STREET LLC</t>
  </si>
  <si>
    <t>809 N 41ST STREET</t>
  </si>
  <si>
    <t>062243400</t>
  </si>
  <si>
    <t>MAILR - RETURNED MAIL RECEIVED: RETURNED MAIL ORDER DATED 12/04/21 AS UNDELIVERABLE AT THE ADDRESS ON FILE WITH THE COURT TO THE FOLLOWING PARTY: CITY OF PHILADELPHIA.</t>
  </si>
  <si>
    <t>2021-08-06 11:50:00</t>
  </si>
  <si>
    <t>PA NEIGHBORHOOD DEVELOPMENT PARTNERSHIP VS WILLIFO</t>
  </si>
  <si>
    <t>WILLIFORD, WILHEMINA</t>
  </si>
  <si>
    <t>5222 RODMAN STREET</t>
  </si>
  <si>
    <t>ZR236 - NOTICE GIVEN UNDER RULE 236: NOTICE GIVEN ON 06-JAN-2022 OF ORDER ENTERED/236 NOTICE GIVEN ENTERED ON 06-JAN-2022.</t>
  </si>
  <si>
    <t>2019-04-06 16:07:00</t>
  </si>
  <si>
    <t>SHOULDER TO SHOULDER OUTREACH MINISTRY</t>
  </si>
  <si>
    <t>6416 GERMANTOWN AVENUE</t>
  </si>
  <si>
    <t>2016-04-06 16:06:00</t>
  </si>
  <si>
    <t>SCIOLI TURCO, INC. VS VOLKENS ETAL</t>
  </si>
  <si>
    <t>VOLKENS, ANGELO P; VOLKENS, DAVID L; VOLKENS, GREGORY J; VOLKENS, KHALID</t>
  </si>
  <si>
    <t>1166 S DORRANCE ST</t>
  </si>
  <si>
    <t>LISPR - RELEASE OF LIS PENDENS FILED: PRAECIPE TO RELEASE LIS PENDENS AS TO PREMISES 1166 S DORRANCE STREET, PHILADELPHIA FILED. (FILED ON BEHALF OF SCIOLI TURCO, INC.)</t>
  </si>
  <si>
    <t>2019-12-16 10:14:00</t>
  </si>
  <si>
    <t>BROWN, JEFFIE</t>
  </si>
  <si>
    <t>ADAMS, OLIVIA A</t>
  </si>
  <si>
    <t>4027 W GIRARD AVENUE</t>
  </si>
  <si>
    <t>062175200</t>
  </si>
  <si>
    <t>ZR236 - NOTICE GIVEN UNDER RULE 236: NOTICE GIVEN ON 19-JUL-2022 OF ORDER ENTERED/236 NOTICE GIVEN ENTERED ON 18-JUL-2022.</t>
  </si>
  <si>
    <t>2016-08-15 12:11:00</t>
  </si>
  <si>
    <t>IS PINE, LLC VS FOSTER</t>
  </si>
  <si>
    <t>FOSTER, BARBARA J</t>
  </si>
  <si>
    <t>5039 LARCHWOOD AVENUE</t>
  </si>
  <si>
    <t>LISPR - RELEASE OF LIS PENDENS FILED: PRAECIPE TO RELEASE LIS PENDENS AS TO PREMISES 5039 LARCHWOOD AVENUE, PHILADELPHIA 5039 LARCHWOOD AVENUE, PHILADELPHIA FILED. (FILED ON BEHALF OF IS PINE, LLC)</t>
  </si>
  <si>
    <t>2021-03-01 12:58:00</t>
  </si>
  <si>
    <t>SAINT VLADIMIR UKRANIAN ORTHODOX CHURCH OF PHILADE</t>
  </si>
  <si>
    <t>SAINT VLADIMIR UKRANIAN ORTHODOX CHURCH OF PHILADELPHIA</t>
  </si>
  <si>
    <t>ALDERFER, SARAH; MCILHINNEY, MICHAEL P; PFIRRMAN, JOHN ROBERT; TONER, PAUL J</t>
  </si>
  <si>
    <t>SAUNDERS, STANLEY J</t>
  </si>
  <si>
    <t>SALAMAN, DREW; SIMMONS, ROBERT L; THOMAS, JOSHUA L</t>
  </si>
  <si>
    <t>500 INDEPENDENCE STREET</t>
  </si>
  <si>
    <t>2016-10-17 12:40:00</t>
  </si>
  <si>
    <t>SCIOLI TURCO, INC.  VS SIMMONS ETAL</t>
  </si>
  <si>
    <t>SIMMONS, CURTIS R</t>
  </si>
  <si>
    <t>SPEYER, DEBRA G</t>
  </si>
  <si>
    <t>1004 S 20TH STREET</t>
  </si>
  <si>
    <t>LISPR - RELEASE OF LIS PENDENS FILED: PRAECIPE TO RELEASE LIS PENDENS AS TO PREMISES 1004 S 20TH STREET, PHILADELPHIA FILED. (FILED ON BEHALF OF SCIOLI TURCO, INC.)</t>
  </si>
  <si>
    <t>2013-05-21 17:41:00</t>
  </si>
  <si>
    <t>MT. AIRY, USA INC. VS KHS EQUITIES, LLC</t>
  </si>
  <si>
    <t>MT. AIRY, USA INC</t>
  </si>
  <si>
    <t>AHUMADA, LORENA E</t>
  </si>
  <si>
    <t>KHS EQUITIES LLC</t>
  </si>
  <si>
    <t>GOLDSMITH III, EDWIN M; GRIFO, ROSARIO A</t>
  </si>
  <si>
    <t>59 E PHIL ELLENA STREET</t>
  </si>
  <si>
    <t>ZR236 - NOTICE GIVEN UNDER RULE 236: NOTICE GIVEN ON 13-MAR-2015 OF ORDER ENTERED/236 NOTICE GIVEN ENTERED ON 13-MAR-2015.</t>
  </si>
  <si>
    <t>2019-07-25 09:33:00</t>
  </si>
  <si>
    <t>JOELL III, VICTOR L</t>
  </si>
  <si>
    <t>2822 W OXFORD</t>
  </si>
  <si>
    <t>2014-01-15 16:56:00</t>
  </si>
  <si>
    <t>REDEVELOPMENT AUTHORITY OF THE CITY OF PHILADELPHI</t>
  </si>
  <si>
    <t>REDEVELOPMENT AUTHORITY OF THE CITY OF PHILADELPHIA</t>
  </si>
  <si>
    <t>FRIEDLANDER, ANDREW P; HARMON, RYAN D; KERN, LAURA W; SCAFIDI, NICHOLAS J; VARGHESE, SUSAN</t>
  </si>
  <si>
    <t>GORDON, DAVID K</t>
  </si>
  <si>
    <t>3589 NOTTINGHAM LANE</t>
  </si>
  <si>
    <t>ZR236 - NOTICE GIVEN UNDER RULE 236: NOTICE GIVEN ON 01-JUN-2016 OF ORDER ENTERED/236 NOTICE GIVEN ENTERED ON 31-MAY-2016.</t>
  </si>
  <si>
    <t>2022-12-23 10:14:00</t>
  </si>
  <si>
    <t>SCIOLI TURCO, INC. VS ESTATE OF WILLIAM E.J. WIXTE</t>
  </si>
  <si>
    <t>EARLY, STEPHANIE; MOROCCO, MELISSA; WIXTED, CATHERINE; WIXTED ESTATE OF, SUSAN M; WIXTED ESTATE OF WILLIAM, WILLIAM EJ</t>
  </si>
  <si>
    <t>10938 MODENA PLACE</t>
  </si>
  <si>
    <t>2023-07-14 13:44:00</t>
  </si>
  <si>
    <t>HAVERFORD SQ GC, LLC ETAL VS ALEXANDER ETAL</t>
  </si>
  <si>
    <t>ALEXANDER, ROSHONDA D</t>
  </si>
  <si>
    <t>226 MANHEIM</t>
  </si>
  <si>
    <t>LISPN - LIS PENDENS FILED: CERTIFICATION THAT THIS ACTION INVOLVES TITLE TO REAL ESTATE. PRAECIPE TO INDEX LIS PENDENS AS TO PREMISES 226 MANHEIM, PHILADELPHIA.</t>
  </si>
  <si>
    <t>2016-04-20 17:12:00</t>
  </si>
  <si>
    <t>INNOVA SERVICES CORPORATION VS UPSHUR ETAL</t>
  </si>
  <si>
    <t>UPSHUR, MAURICE</t>
  </si>
  <si>
    <t>DICKS, SHERRI</t>
  </si>
  <si>
    <t>1538 S BOUVIER ST</t>
  </si>
  <si>
    <t>ZR236 - NOTICE GIVEN UNDER RULE 236: NOTICE GIVEN ON 28-SEP-2020 OF ORDER ENTERED - FINAL DISPOS ENTERED ON 25-SEP-2020.</t>
  </si>
  <si>
    <t>2012-10-20 14:52:00</t>
  </si>
  <si>
    <t>SCIOLI TURCO, INC. VS NESKO ETAL</t>
  </si>
  <si>
    <t>NESKO, FLORENCE</t>
  </si>
  <si>
    <t>KELLY, CHRISTOPHER P; MURPHY, KEVIN J</t>
  </si>
  <si>
    <t>148 FERNON STREET</t>
  </si>
  <si>
    <t>021048700</t>
  </si>
  <si>
    <t>ZR236 - NOTICE GIVEN UNDER RULE 236: NOTICE GIVEN ON 15-AUG-2014 OF STIPULATION APPROVED ENTERED ON 15-AUG-2014.</t>
  </si>
  <si>
    <t>2015-03-07 13:50:00</t>
  </si>
  <si>
    <t>MATHEW VS SAFI NAZLOU ETAL</t>
  </si>
  <si>
    <t>MATHEW, JOSHUA</t>
  </si>
  <si>
    <t>SAFI NAZLOU, FARROKH</t>
  </si>
  <si>
    <t>KOELSCH 273, YEKATERINA; MARQUEZ, ENRIQUE; PERRY, ROGER F; SCAGGS, DAVID J</t>
  </si>
  <si>
    <t>1629 WALLACE STREET</t>
  </si>
  <si>
    <t>084085500</t>
  </si>
  <si>
    <t>PRSDE - PRAEC/SETTLE DISCONTINUE END: SETTLED VIA S D &amp; E PRAECIPE FILED. (FILED ON BEHALF OF JOSHUA MATHEW)</t>
  </si>
  <si>
    <t>2021-06-02 17:08:00</t>
  </si>
  <si>
    <t>SCIOLI TURCO INC. VS JUNG ETAL</t>
  </si>
  <si>
    <t>JUNG, DOUGLAS J; JUNG, PEGGY N</t>
  </si>
  <si>
    <t>LEE, GARY</t>
  </si>
  <si>
    <t>4730 LONGSHORE AVENUE</t>
  </si>
  <si>
    <t>054009000</t>
  </si>
  <si>
    <t>ZR236 - NOTICE GIVEN UNDER RULE 236: NOTICE GIVEN ON 24-SEP-2021 OF ORDER ENTERED - FINAL DISPOS ENTERED ON 24-SEP-2021.</t>
  </si>
  <si>
    <t>2019-04-30 13:10:00</t>
  </si>
  <si>
    <t>IRVING, NICHELLE P</t>
  </si>
  <si>
    <t>2213 WILDER STREET</t>
  </si>
  <si>
    <t>2020-01-22 10:28:00</t>
  </si>
  <si>
    <t>SCIOLI TURCO, INC. VS TROPIANO ETAL</t>
  </si>
  <si>
    <t>TROPIANO, ROBERT</t>
  </si>
  <si>
    <t>7011 EDMUND STREET</t>
  </si>
  <si>
    <t>MAILR - RETURNED MAIL RECEIVED: RETURNED MAIL ORDER DATED 09/21/21 AS UNDELIVERABLE AT THE ADDRESS ON FILE WITH THE COURT TO THE FOLLOWING PARTY: PHILAELPHIA TRAFFIC COURT.</t>
  </si>
  <si>
    <t>2016-04-05 15:45:00</t>
  </si>
  <si>
    <t>MATHEW VS MILLS ETAL</t>
  </si>
  <si>
    <t>MILLS, ALBERTA C</t>
  </si>
  <si>
    <t>812-814 N 16TH</t>
  </si>
  <si>
    <t>LISPR - RELEASE OF LIS PENDENS FILED: PRAECIPE TO RELEASE LIS PENDENS AS TO PREMISES 812 N 16TH STREET, PHILADELPHIA 814 N 16TH STREET, PHILADELPHIA FILED. (FILED ON BEHALF OF JOSHUA E MATHEW)</t>
  </si>
  <si>
    <t>2020-11-20 16:21:00</t>
  </si>
  <si>
    <t>SCIOLI TURCO, INC. VS STAPLES ETAL</t>
  </si>
  <si>
    <t>EMILY COX C/O KENNETH HARRISON ESQUIRE; JEFFREY STAPLES C/O KENNETH HARRISON ESQUIRE; JOHN T STAPLES JR C/O KENNETH HARRISON ESQUIRE; JULIA STAPLES C/O KENNETH HARRISON ESQUIRE; STAPLES, JOHN T; STAPLES, MARTHA M</t>
  </si>
  <si>
    <t>CARLETON, MICHAEL E; DEBARBERIE, JOSEPH E; DIETTERICK, SCOTT A; HONG, KIMBERLY J; WOOTERS, MEREDITH</t>
  </si>
  <si>
    <t>5110 GERMANTOWN AVE</t>
  </si>
  <si>
    <t>M0462 - LISTED-STAT CONF CONSERVATOR: 28-20111828 STATUS HEARING SCHEDULED FOR 7/10/2023 AT 11:30 A.M. IN COURTROOM 453, CITY HALL.</t>
  </si>
  <si>
    <t>2023-07-06 10:58:00</t>
  </si>
  <si>
    <t>UNKNOWN HEIRS OF GLADYS L GROSE; UNKNOWN HEIRS OF LAWRENCE W GROSE</t>
  </si>
  <si>
    <t>5820 SANSOM STREET</t>
  </si>
  <si>
    <t>LISPN - LIS PENDENS FILED: CERTIFICATION THAT THIS ACTION INVOLVES TITLE TO REAL ESTATE. PRAECIPE TO INDEX LIS PENDENS AS TO PREMISES 5820 SANSOM STREET, PHILADELPHIA.</t>
  </si>
  <si>
    <t>2022-11-14 12:52:00</t>
  </si>
  <si>
    <t>COMMONWEALTH PRESERVATION ALLIANCE, INC. VS JUANIT</t>
  </si>
  <si>
    <t>CLAY, HARROD E; HARRIS EXECUTRIX OF EST OF ETHELRENE B MITCHELL, JUANITA C</t>
  </si>
  <si>
    <t>WILSON, SHARON</t>
  </si>
  <si>
    <t>2926 DIAMOND STREET</t>
  </si>
  <si>
    <t>MTHRS - MOTION HEARING SCHEDULED: 54-22112454 STATUS HEARING SCHEDULED FOR 6/3/2024 AT 10:30 A.M. VIA ZOOM.</t>
  </si>
  <si>
    <t>2022-08-12 11:20:00</t>
  </si>
  <si>
    <t>SCIOLI TURCO, INC. VS HOLMAN ETAL</t>
  </si>
  <si>
    <t>HOLMAN, CLARK L; UNKNOWN HEIRS</t>
  </si>
  <si>
    <t>YOUNG JR, JEFFERY</t>
  </si>
  <si>
    <t>5316 GERMANTOWN AVENUE</t>
  </si>
  <si>
    <t>2022-11-28 14:37:00</t>
  </si>
  <si>
    <t>SCIOLI TURCO, INC. VS LISAVETS ETAL</t>
  </si>
  <si>
    <t>LISAVETS, ANDREI</t>
  </si>
  <si>
    <t>2017-01-20 12:31:00</t>
  </si>
  <si>
    <t>G&amp;G INVESTORS LLC VS RUSSELL ETAL</t>
  </si>
  <si>
    <t>G&amp;G INVESTORS LLC</t>
  </si>
  <si>
    <t>POLLINS, WILLIE; STEIN, JONATHAN E; VANDERSLICE, RICHARD L</t>
  </si>
  <si>
    <t>ESTATES OF JOHN B RUSSELL AND MARY J RUSSELL; RUSSELL, ALEXANDER G; RUSSELL, DAVID B; RUSSELL, JOHN B; RUSSELL, MARY J; RUSSELL, ROBERT S</t>
  </si>
  <si>
    <t>2228 SEARS STREET</t>
  </si>
  <si>
    <t>LISPR - RELEASE OF LIS PENDENS FILED: PRAECIPE TO RELEASE LIS PENDENS AS TO PREMISES 2228 SEARS, PHILADELPHIA 2230 SEARS, PHILADELPHIA FILED. (FILED ON BEHALF OF G&amp;G INVESTORS LLC)</t>
  </si>
  <si>
    <t>2023-11-01 12:16:00</t>
  </si>
  <si>
    <t>GREEN, BIANCA C</t>
  </si>
  <si>
    <t>3140 W DIAMOND STREET</t>
  </si>
  <si>
    <t>LISPN - LIS PENDENS FILED: CERTIFICATION THAT THIS ACTION INVOLVES TITLE TO REAL ESTATE. PRAECIPE TO INDEX LIS PENDENS AS TO PREMISES 3140 W DIAMOND STREET, PHILADELPHIA.</t>
  </si>
  <si>
    <t>2021-10-14 09:06:00</t>
  </si>
  <si>
    <t>NG PROPERTIES LLC</t>
  </si>
  <si>
    <t>510 MIDVALE STREET</t>
  </si>
  <si>
    <t>WRPRA - PRAECIPE TO ISSUE WRIT FILED: PRAECIPE FOR WRIT OF EXECUTION (RE) FILED. WRIT OF EXECUTION (RE) ISSUED. SUBJECT PREMISES: 2136 N PERCY ST. PHILADELPHIA. (FILED ON BEHALF OF PHILADELPHA COMMUNITY DEVELOPMENT COALITION INC)</t>
  </si>
  <si>
    <t>2020-06-19 11:27:00</t>
  </si>
  <si>
    <t>ALSTON, ALSON</t>
  </si>
  <si>
    <t>3033 BALTZ STREET</t>
  </si>
  <si>
    <t>ZR236 - NOTICE GIVEN UNDER RULE 236: NOTICE GIVEN ON 12-NOV-2021 OF ORDER ENTERED - FINAL DISPOS ENTERED ON 09-NOV-2021.</t>
  </si>
  <si>
    <t>2022-02-02 15:03:00</t>
  </si>
  <si>
    <t>COPELAND VS BCM PHILADELPHIA, LLC</t>
  </si>
  <si>
    <t>COPELAND, HOLMAN</t>
  </si>
  <si>
    <t>BCM PHILADELPHIA LLC</t>
  </si>
  <si>
    <t>DEMARCO, RICHARD C</t>
  </si>
  <si>
    <t>1733 BELFIELD AVENUE</t>
  </si>
  <si>
    <t>ZR236 - NOTICE GIVEN UNDER RULE 236: NOTICE GIVEN ON 02-SEP-2022 OF ORDER ENTERED/236 NOTICE GIVEN ENTERED ON 01-SEP-2022.</t>
  </si>
  <si>
    <t>2023-11-21 13:52:00</t>
  </si>
  <si>
    <t>GLOBAL GIVINGS DEVELOPMENT CORPORATION VS NEWTON E</t>
  </si>
  <si>
    <t>ALL UNKNOWN HEIRS; NEWTON-ADAMS, VERNA; NEWTON, CURTIS W; NEWTON, ELVIRA; NEWTON, ROBERT; WB REALESTATE LLC</t>
  </si>
  <si>
    <t>409 COBBS CREEK PARKWAY</t>
  </si>
  <si>
    <t>032252600</t>
  </si>
  <si>
    <t>MTASN - MOTION ASSIGNED: 62-23114862 PET-APPT CONSERVATOR-ACT 135 ASSIGNED TO JUDGE: JUDGE, CONSERVATORSHIP . ON DATE: NOVEMBER 29, 2023</t>
  </si>
  <si>
    <t>2023-11-11 19:12:00</t>
  </si>
  <si>
    <t>UNKNOWN HEIRS OF ELIZABETH SAUNDERS</t>
  </si>
  <si>
    <t>1314 N 27TH STREET</t>
  </si>
  <si>
    <t>LISPN - LIS PENDENS FILED: CERTIFICATION THAT THIS ACTION INVOLVES TITLE TO REAL ESTATE. PRAECIPE TO INDEX LIS PENDENS AS TO PREMISES 1314 N 27TH STREET, PHILADELPHIA.</t>
  </si>
  <si>
    <t>2016-03-21 13:48:00</t>
  </si>
  <si>
    <t>IS3 1234, LLC VS WILLIAMS</t>
  </si>
  <si>
    <t>WILLIAMS, MICHAEL P</t>
  </si>
  <si>
    <t>2911 W FLORA STREET</t>
  </si>
  <si>
    <t>ZR236 - NOTICE GIVEN UNDER RULE 236: NOTICE GIVEN ON 16-MAY-2018 OF ORDER ENTERED - FINAL DISPOS ENTERED ON 15-MAY-2018.</t>
  </si>
  <si>
    <t>2012-03-10 09:24:00</t>
  </si>
  <si>
    <t>PALMER VS MIHALIC ETAL</t>
  </si>
  <si>
    <t>PALMER, JOEL; SCIOLI TURCO INC</t>
  </si>
  <si>
    <t>LOMAX, TONI R; MIHALIC, PAUL</t>
  </si>
  <si>
    <t>614 KATER</t>
  </si>
  <si>
    <t>023019900</t>
  </si>
  <si>
    <t>LISPR - RELEASE OF LIS PENDENS FILED: PRAECIPE TO RELEASE LIS PENDENS AS TO PREMISES 614 E KATER STREET, PHILADELPHIA FILED. (FILED ON BEHALF OF TONI R. LOMAX AND PAUL MIHALIC)</t>
  </si>
  <si>
    <t>2019-05-14 15:39:00</t>
  </si>
  <si>
    <t>SCIOLI TURCO, INC VS GSS TOURS, INC ETAL</t>
  </si>
  <si>
    <t>GSS TOURS; GSS TOURS INC; PANNELLA, LOUIS; PIERRON, THOMAS</t>
  </si>
  <si>
    <t>ORDRF - ORDER ENTERED - FINAL DISPOS: 45-19051845 IT IS HEREBY ORDERED AND DECREED THAT PETITIONER'S PETITION FOR THE APPOINTMENT OF A CONSERVATOR IS DISMISSED, WITHOUT PREJUDICE, AS THE PETITIONER IN THIS ACTION HAS FAILED TO ATTACH A TITLE REPORT AND HAS FAILED TO ADDRESS THE MORTGAGE FROM FIRST PENNSYLVANIA BANK NA. IT IS FURTHER ORDERED AND DECREED THAT THE LIS PENDENS ON THE PROPERTY LOCATED AT 6807 TORRESDALE AVENUE, PHILADELPHIA, PA IS HEREBY LIFTED. ...BY THE COURT: NEW, JUDGE 06/20/2019</t>
  </si>
  <si>
    <t>2015-03-20 15:50:00</t>
  </si>
  <si>
    <t>SCIOLI TURCO, INC. VS BOONE ETAL</t>
  </si>
  <si>
    <t>BOONE, WILBUR</t>
  </si>
  <si>
    <t>1424 S 18TH STREET</t>
  </si>
  <si>
    <t>2021-11-16 18:24:00</t>
  </si>
  <si>
    <t>BAKER JR, GEORGE V</t>
  </si>
  <si>
    <t>2016 N 20TH STREET</t>
  </si>
  <si>
    <t>ZR236 - NOTICE GIVEN UNDER RULE 236: NOTICE GIVEN ON 09-JAN-2023 OF APPEAL INVENTORY RECORD SENT ENTERED ON 09-JAN-2023.</t>
  </si>
  <si>
    <t>2018-02-23 16:28:00</t>
  </si>
  <si>
    <t>GONZALEZ, BARBARA; UNKNOWN HEIRS OF BARBARA GONZALEZ</t>
  </si>
  <si>
    <t>KIVITZ, JAY E</t>
  </si>
  <si>
    <t>2108 E ARIZONA STREET</t>
  </si>
  <si>
    <t>ZR236 - NOTICE GIVEN UNDER RULE 236: NOTICE GIVEN ON 18-JAN-2019 OF ORDER ENTERED - FINAL DISPOS ENTERED ON 17-JAN-2019.</t>
  </si>
  <si>
    <t>2022-01-26 16:59:00</t>
  </si>
  <si>
    <t>SCIOLI TURCO, INC. VS ESTATE OF CHARLES WELCH ETAL</t>
  </si>
  <si>
    <t>HANNON, COLLEEN MARIE; WELCH ESTATE OFCHARLES; WELCH ESTATE OFROSELLA</t>
  </si>
  <si>
    <t>TUCHINSKY, DMITRY</t>
  </si>
  <si>
    <t>2144 E NORRIS STREET</t>
  </si>
  <si>
    <t>2018-06-22 15:07:00</t>
  </si>
  <si>
    <t>EL JEFE PROPERTIES VS HECTOR MALDONALDO ETAL</t>
  </si>
  <si>
    <t>EL JEFE PROPERTIES</t>
  </si>
  <si>
    <t>KERRIGAN, JOSEPH P</t>
  </si>
  <si>
    <t>HECTOR MALDONALDO, HECTOR; MALDONALDO, IDALIA</t>
  </si>
  <si>
    <t>4355 MALTA STREET</t>
  </si>
  <si>
    <t>ZR236 - NOTICE GIVEN UNDER RULE 236: NOTICE GIVEN ON 25-SEP-2019 OF ORDER ENTERED - FINAL DISPOS ENTERED ON 24-SEP-2019.</t>
  </si>
  <si>
    <t>2021-03-18 19:30:00</t>
  </si>
  <si>
    <t>SCIOLI TURCO, INC VS SCOTT ETAL</t>
  </si>
  <si>
    <t>SCOTT, DONALD; SCOTT, JAMES B</t>
  </si>
  <si>
    <t>614 MARKLE</t>
  </si>
  <si>
    <t>MAILR - RETURNED MAIL RECEIVED: RETURNED MAIL ORDER DATED 06/01/22 AS UNDELIVERABLE AT THE ADDRESS ON FILE WITH THE COURT TO THE FOLLOWING PARTY: LVNV FUNDING LLC.</t>
  </si>
  <si>
    <t>2016-04-20 16:31:00</t>
  </si>
  <si>
    <t>INNOVA SERVICES CORPORATION VS SHIPMAN ETAL</t>
  </si>
  <si>
    <t>FAITH UNITED CHURCH OF THE LIVING GOD; ROSS, JOSEPH; SHIPMAN, BLANCHE</t>
  </si>
  <si>
    <t>ARRIGO, MARC A</t>
  </si>
  <si>
    <t>1506 S COLORADO ST</t>
  </si>
  <si>
    <t>MAILR - RETURNED MAIL RECEIVED: RETURNED MAIL ORDER DATED 08/30/19 AS UNDELIVERABLE AT THE ADDRESS ON FILE WITH THE COURT TO THE FOLLOWING PARTY: LYNV FUNDING LLC.</t>
  </si>
  <si>
    <t>2023-06-02 12:16:00</t>
  </si>
  <si>
    <t>PHILADELPHIA COMMUNITY GROWTH, INC VS MATTHEWS ETA</t>
  </si>
  <si>
    <t>MATTHEWS, KENNETH; UNKNOWN HEIRS OF ANNA MAE MATTHEWS,</t>
  </si>
  <si>
    <t>3862 MT. VERNON STREET</t>
  </si>
  <si>
    <t>AFDVT - AFFIDAVIT OF SERVICE FILED: AFFIDAVIT OF SERVICE OF NOTICE, PETITION, AND OTSC UPON PGW BY CERTIFIED MAIL ON 09/15/2023 FILED. (FILED ON BEHALF OF PHILADELPHIA COMMUNITY GROWTH INC)</t>
  </si>
  <si>
    <t>2017-09-12 11:30:00</t>
  </si>
  <si>
    <t>PHILADELPHIA BLIGHT PROJECT VS VALENTINE ETAL</t>
  </si>
  <si>
    <t>VALENTINE, AURORA</t>
  </si>
  <si>
    <t>WEISBERG, MATTHEW B</t>
  </si>
  <si>
    <t>2521 N 02ND STREET</t>
  </si>
  <si>
    <t>PRSDE - PRAEC/SETTLE DISCONTINUE END: SETTLED VIA S D &amp; E PRAECIPE FILED. (FILED ON BEHALF OF PHILADELPHIA BLIGHT PROJECT)</t>
  </si>
  <si>
    <t>2022-09-02 15:08:00</t>
  </si>
  <si>
    <t>KALTSIDIS, FILIPPAS; KALTSIDIS, ILIAS</t>
  </si>
  <si>
    <t>1807 N 24TH STREET</t>
  </si>
  <si>
    <t>2019-09-17 12:04:00</t>
  </si>
  <si>
    <t>PA NEIGHBORHOOD DEVELOPMENT PARTNERSHIP VS DATTS</t>
  </si>
  <si>
    <t>CARR, PETER; RITTERMAN, SAMUEL H; SORATHIA, ALEENA Y</t>
  </si>
  <si>
    <t>DATTS II, RICARDO T</t>
  </si>
  <si>
    <t>644 S 52ND STREET</t>
  </si>
  <si>
    <t>AFDVT - AFFIDAVIT OF SERVICE FILED: AFFIDAVIT OF SERVICE OF ATTORNEY WITHDRAWAL/ENTRY OF APPEARANCE UPON RICARDO T DATTS BY CERTIFIED MAIL ON 04/16/2022 FILED. (FILED ON BEHALF OF PA NEIGHBORHOOD DEVELOPMENT PARTNERSHIP)</t>
  </si>
  <si>
    <t>2012-12-10 22:51:00</t>
  </si>
  <si>
    <t>SCIOLI TURCO, INC. VS ESTATE OF EMMA DOMIT  ETAL</t>
  </si>
  <si>
    <t>DOMIT ESTATE OF C/O DEBORA STINGER, MARIANA; DOMIT ESTATE OF C/O DEBORA STINGER, THERESA; DOMIT ESTATE OF C/O JOSHUA LEVIN, MARIANA; DOMIT ESTATE OF C/O JOSHUA LEVIN, THERESA; DOMIT ESTATE OF C/O LATEFFIE COIA, MARIANA; DOMIT ESTATE OF C/O LATEFFIE COIA, THERESA; DOMIT ESTATE OF, EMMA; DOMIT ESTATE OF, JOSEPH; DOMIT, SADIE; DOMIT, SELMA</t>
  </si>
  <si>
    <t>1230 ELLSWORTH STREET</t>
  </si>
  <si>
    <t>021206400</t>
  </si>
  <si>
    <t>2022-04-05 15:12:00</t>
  </si>
  <si>
    <t>PHILADELPHIA COMMUNITY DEVELOPMENT COALITION VS AM</t>
  </si>
  <si>
    <t>AMIN CARTER PROPERTIES LLC; UNKNOWN HEIRS OF ADDIE L SMITH</t>
  </si>
  <si>
    <t>2528 RIDGE AVENUE</t>
  </si>
  <si>
    <t>ZRDSC - PRAECIPE TO DISCONTINUE: ORDER TO DISCONTINUE WITHOUT PREJUDICE FILED. (FILED ON BEHALF OF PHILADELPHIA COMMUNITY DEVELOPMENT COALITION)</t>
  </si>
  <si>
    <t>2022-07-29 10:59:00</t>
  </si>
  <si>
    <t xml:space="preserve">PHILADELPHIA COMMUNITY GROWTH, INC. VS 2300 ALTER </t>
  </si>
  <si>
    <t>2300 ALTER LLC</t>
  </si>
  <si>
    <t>2011 FEDERAL STREET</t>
  </si>
  <si>
    <t>M0444 - LISTED-HRNG CONSERVATOR ACT: 33-22075333 STATUS HEARING SCHEDULED FOR 5/4/23 AT 1:30 P.M. IN COURTROOM 453, CITY HALL.</t>
  </si>
  <si>
    <t>2023-09-15 12:51:00</t>
  </si>
  <si>
    <t>SCIOLI TURCO, INC. VS GERMANTOWN WOMEN'S Y ETAL</t>
  </si>
  <si>
    <t>GERMANTOWN WOMEN'S Y</t>
  </si>
  <si>
    <t>1240-44 E CHELTEN AVENUE</t>
  </si>
  <si>
    <t>LISPN - LIS PENDENS FILED: CERTIFICATION THAT THIS ACTION INVOLVES TITLE TO REAL ESTATE. PRAECIPE TO INDEX LIS PENDENS AS TO PREMISES 1240-44 E CHELTEN AVENUE, PHILADELPHIA.</t>
  </si>
  <si>
    <t>2015-10-07 10:18:00</t>
  </si>
  <si>
    <t>IS ALLEGHENY LLC</t>
  </si>
  <si>
    <t>YELVERTON, KARIMA</t>
  </si>
  <si>
    <t>LISPR - RELEASE OF LIS PENDENS FILED: PRAECIPE TO RELEASE LIS PENDENS AS TO PREMISES 1601 W ALLEGHENY AVENUE, PHILADELPHIA FILED. (FILED ON BEHALF OF IS ALLEGHENY, LLC)</t>
  </si>
  <si>
    <t>2022-09-15 18:39:00</t>
  </si>
  <si>
    <t>HARDIMON PROPERTY GROUP, INC. VS EVTV INVESTMENT C</t>
  </si>
  <si>
    <t>HARDIMON PROPERTY GROUP INC</t>
  </si>
  <si>
    <t>PECORA ESQ, JOSEPH; YOUNG JR, JEFFERY</t>
  </si>
  <si>
    <t>EVTV INVESTMENT COMPANY</t>
  </si>
  <si>
    <t>6317 BAYNTON STREET</t>
  </si>
  <si>
    <t>PRSDE - PRAEC/SETTLE DISCONTINUE END: SETTLED VIA S D &amp; E PRAECIPE FILED. (FILED ON BEHALF OF HARDIMON PROPERTY GROUP INC)</t>
  </si>
  <si>
    <t>2016-12-27 17:51:00</t>
  </si>
  <si>
    <t>KREATE INVESTMENTS LLC VS SAN DIEGO REALTY CORP ET</t>
  </si>
  <si>
    <t>KREATE INVESTMENTS LLC</t>
  </si>
  <si>
    <t>SAN DIEGO REALTY CORPORATION</t>
  </si>
  <si>
    <t>CIARD III, ALBERT A; SIEDMAN, DANIEL S</t>
  </si>
  <si>
    <t>1641 N 02ND STREET</t>
  </si>
  <si>
    <t>LISPR - RELEASE OF LIS PENDENS FILED: PRAECIPE TO RELEASE LIS PENDENS AS TO PREMISES 1641 N 2ND STREET, PHILADELPHIA 1643 N 2ND STREET, PHILADELPHIA 1645 N 2ND STREET, PHILADELPHIA 180 CECIL B MOORE AVENUE, PHILADELPHIA FILED. (FILED ON BEHALF OF KREATE INVESTMENTS LLC)</t>
  </si>
  <si>
    <t>2023-05-19 13:59:00</t>
  </si>
  <si>
    <t>SMITH, DONALD; SMITH, THERESA</t>
  </si>
  <si>
    <t>507 LOCUST AVENUE</t>
  </si>
  <si>
    <t>LISPN - LIS PENDENS FILED: CERTIFICATION THAT THIS ACTION INVOLVES TITLE TO REAL ESTATE. PRAECIPE TO INDEX LIS PENDENS AS TO PREMISES 507 LOCUST AVENUE, PHILADELPHIA.</t>
  </si>
  <si>
    <t>2021-06-23 17:12:00</t>
  </si>
  <si>
    <t>JREIJE VS BROWNE ETAL</t>
  </si>
  <si>
    <t>JREIJE, ANTHONY</t>
  </si>
  <si>
    <t>BROWNE, FREDERICK A</t>
  </si>
  <si>
    <t>WALKER, JOHN</t>
  </si>
  <si>
    <t>714 S 49TH STREET</t>
  </si>
  <si>
    <t>PRSDE - PRAEC/SETTLE DISCONTINUE END: SETTLED VIA S D &amp; E PRAECIPE FILED. (FILED ON BEHALF OF ANTHONY JREIJE)</t>
  </si>
  <si>
    <t>2020-03-04 13:49:00</t>
  </si>
  <si>
    <t>PINKETT, ROSE</t>
  </si>
  <si>
    <t>3253 RIDGE AVENUE</t>
  </si>
  <si>
    <t>2023-11-20 12:27:00</t>
  </si>
  <si>
    <t>WILLIAMS VS DAKAR INC, ETAL</t>
  </si>
  <si>
    <t>DAKAR INC</t>
  </si>
  <si>
    <t>605 N SHEDWICK ST</t>
  </si>
  <si>
    <t>MTASN - MOTION ASSIGNED: 68-23114468 PET-APPT CONSERVATOR-ACT 135 ASSIGNED TO JUDGE: JUDGE, CONSERVATORSHIP . ON DATE: NOVEMBER 22, 2023</t>
  </si>
  <si>
    <t>2022-11-14 12:01:00</t>
  </si>
  <si>
    <t>COMMONWEALTH PRESERVATION ALLIANCE, INC. VS DINGLE</t>
  </si>
  <si>
    <t>DINGLE, JANIS</t>
  </si>
  <si>
    <t>1616 PARRISH STREET</t>
  </si>
  <si>
    <t>ZRDSC - PRAECIPE TO DISCONTINUE: ORDER TO DISCONTINUE WITHOUT PREJUDICE FILED. (FILED ON BEHALF OF COMMONWEALTH PRESERVATION ALLIANCE INC)</t>
  </si>
  <si>
    <t>2020-11-25 11:38:00</t>
  </si>
  <si>
    <t>LEE, BERNADINE M; LEE, FRANCIS J</t>
  </si>
  <si>
    <t>333 N 11TH STREET</t>
  </si>
  <si>
    <t>056327200</t>
  </si>
  <si>
    <t>2015-05-15 15:10:00</t>
  </si>
  <si>
    <t>SCIOLI TURCO, INC. VS BONK ETAL</t>
  </si>
  <si>
    <t>BONK, KURT J</t>
  </si>
  <si>
    <t>LEVY, BART E; MARTIN, MARY-KATE</t>
  </si>
  <si>
    <t>830 N 04TH STREET</t>
  </si>
  <si>
    <t>056199200</t>
  </si>
  <si>
    <t>LISPR - RELEASE OF LIS PENDENS FILED: PRAECIPE TO RELEASE LIS PENDENS AS TO PREMISES 830 N 4TH STREET, PHILADELPHIA FILED. (FILED ON BEHALF OF SCIOLI TURCO, INC.)</t>
  </si>
  <si>
    <t>2013-07-15 18:20:00</t>
  </si>
  <si>
    <t>SCIOLI TURCO, INC. VS JENKINS ETAL</t>
  </si>
  <si>
    <t>LANGSAM, HENRY I; VANDERSLICE, RICHARD L</t>
  </si>
  <si>
    <t>JENKINS, ALBERT</t>
  </si>
  <si>
    <t>1922 MANTON STREET</t>
  </si>
  <si>
    <t>LISPR - RELEASE OF LIS PENDENS FILED: PRAECIPE TO RELEASE LIS PENDENS AS TO PREMISES 1922 MANTON STREET, PHILADELPHIA FILED. (FILED ON BEHALF OF SCIOLI TURCO, INC.)</t>
  </si>
  <si>
    <t>2017-03-07 14:50:00</t>
  </si>
  <si>
    <t>4701-15 WAYNE AVENUE LP VS MILLER ETAL</t>
  </si>
  <si>
    <t>4701-15 WAYNE AVENUE LP</t>
  </si>
  <si>
    <t>MILLER, SUSAN E; UNKNOWN HEIRS OF STEVEN J. MILLER</t>
  </si>
  <si>
    <t>5138-40 WAYNE AVENUE</t>
  </si>
  <si>
    <t>MAILR - RETURNED MAIL RECEIVED: RETURNED MAIL ORDER DATED 02/10/21 AS UNDELIVERABLE AT THE ADDRESS ON FILE WITH THE COURT TO THE FOLLOWING PARTY: UNKNOWN HEIRS OF STEVEN J MILLER.</t>
  </si>
  <si>
    <t>2017-06-29 15:00:00</t>
  </si>
  <si>
    <t>4 BRYNN LLC VS LUCIUS NEWMAN ADMR OF THE ESTATE</t>
  </si>
  <si>
    <t>4 BRYNN LLC</t>
  </si>
  <si>
    <t>LUCIUS NEWMAN, ADMR OF THE ESTATE OF IRIS C. VADEN NEWMAN; VASQUEZ, JOEL</t>
  </si>
  <si>
    <t>CIANFRANI, DEBORAH D</t>
  </si>
  <si>
    <t>439 W CLEARFIELD ST</t>
  </si>
  <si>
    <t>ACTIV - ACTIVE CASE: ENTRY IS BEING MADE TO CLOSE THE EVENT RELATED TO MOTION THAT WAS WITHDRAWN. ...SJW-TD-CIVIL</t>
  </si>
  <si>
    <t>2018-09-20 11:17:00</t>
  </si>
  <si>
    <t>PA NEIGHBORHOOD DEVELOPMENT PARTNERSHIP VS HOLLING</t>
  </si>
  <si>
    <t>HOLLINGER, BARBARA; HOLLINGER FOSTER, NICHOLE; HOLLINGER, THOMAS</t>
  </si>
  <si>
    <t>MCILHINNEY, MICHAEL P; RUSHIE, A JORDAN</t>
  </si>
  <si>
    <t>1404 N MARSTON STREET</t>
  </si>
  <si>
    <t>ORDMN - COURT ORDERED PAYOUT OF ESCROW: CHECK #9881 IN THE AMOUNT OF $5,200.00 WAS RELEASED TO THE ESTATE OF THOMAS HOLLINGER PER ORDER DATED 06/23/2023, BUTCHART, J.</t>
  </si>
  <si>
    <t>2012-11-13 12:37:00</t>
  </si>
  <si>
    <t>SCIOLI TURCO, INC. VS LURUBE DEVELOPERS LLC ETAL</t>
  </si>
  <si>
    <t>LURUBE DEVELOPERS LLC</t>
  </si>
  <si>
    <t>HARPER SR, RONALD J; MARTIN, MARY-KATE</t>
  </si>
  <si>
    <t>ENAPP - ENTRY OF APPEARANCE: ENTRY OF APPEARANCE OF MARY-KATE BRESLIN FILED. (FILED ON BEHALF OF CITY OF PHILADELPHIA)</t>
  </si>
  <si>
    <t>2017-05-16 12:09:00</t>
  </si>
  <si>
    <t>GIUNTA, ANGEL; GIUNTA JR., FRANK</t>
  </si>
  <si>
    <t>1828 S ORIANNA STREET</t>
  </si>
  <si>
    <t>011425100</t>
  </si>
  <si>
    <t>AFDVT - AFFIDAVIT OF SERVICE FILED: AFFIDAVIT OF SERVICE OF PETITION &amp; ORDER TO SHOW CAUSE UPON ANGEL GIUNTA AND FRANK GIUNTA BY PERSONAL SERVICE ON 05/25/2017 FILED.</t>
  </si>
  <si>
    <t>2016-07-01 12:07:00</t>
  </si>
  <si>
    <t>COURY, MARTHA JANE</t>
  </si>
  <si>
    <t>ZRDSC - PRAECIPE TO DISCONTINUE: ORDER TO DISCONTINUE WITHOUT PREJUDICE FILED. (FILED ON BEHALF OF SCIOLI TURCO, INC.)</t>
  </si>
  <si>
    <t>2017-11-22 09:53:00</t>
  </si>
  <si>
    <t xml:space="preserve">GLOBAL GIVINGS DEVELOPMENT CORPORATION VS KITTLES </t>
  </si>
  <si>
    <t>STEIN, JONATHAN E; TONER, PAUL J; VANDERSLICE, RICHARD L; WATSON, DEANNA E</t>
  </si>
  <si>
    <t>KITTLES, EUGENE; WILLIS, MARY</t>
  </si>
  <si>
    <t>STERN, DOUGLAS N</t>
  </si>
  <si>
    <t>1404 N ETTING STREET</t>
  </si>
  <si>
    <t>M0378 - CORRECTION TO JUDGMENT INDEX: CORRECTION TO LOCALITY INDEX: LIS PENDENS VACATED PURSUANT TO COURT ORDER DATED 03/04/2019. INDEX UPDATED ON 03/06/2019</t>
  </si>
  <si>
    <t>2013-12-20 13:34:00</t>
  </si>
  <si>
    <t>UNIVERSAL BUILDING AND CONSTRUCTION, INC. VS WERTH</t>
  </si>
  <si>
    <t>UNIVERSAL BUILDING &amp; CONSTRUCTION INC</t>
  </si>
  <si>
    <t>WERTHEIMER, LUDWIG; WERTHEIMER, ROSE</t>
  </si>
  <si>
    <t>2033 E HAZZARD STREET</t>
  </si>
  <si>
    <t>PRSDE - PRAEC/SETTLE DISCONTINUE END: SETTLED VIA S D &amp; E PRAECIPE FILED. (FILED ON BEHALF OF UNIVERSAL BUILDING AND CONSTRUCTION, INC.)</t>
  </si>
  <si>
    <t>2016-10-06 10:13:00</t>
  </si>
  <si>
    <t xml:space="preserve">JAMES P. THOMAS VS IMOGENE M. LAHNEMAN, EXECUTRIX </t>
  </si>
  <si>
    <t>THOMAS, JAMES P</t>
  </si>
  <si>
    <t>IMOGENE M. LAHNEMAN, EXECUTRIX OF ESTATE OF T.LAHNEMAN</t>
  </si>
  <si>
    <t>6244 WISSAHICKON AVENUE</t>
  </si>
  <si>
    <t>PRSDE - PRAEC/SETTLE DISCONTINUE END: SETTLED VIA S D &amp; E PRAECIPE FILED. (FILED ON BEHALF OF JAMES P. THOMAS)</t>
  </si>
  <si>
    <t>2016-02-10 15:57:00</t>
  </si>
  <si>
    <t>G &amp; G INVESTORS, LLC VS PHILLIPS SIMMONS REAL ESTA</t>
  </si>
  <si>
    <t>G &amp; G INVESTORS LLC</t>
  </si>
  <si>
    <t>PHILLIPS SIMMONS REAL ESTATE HOLDINGS LLC</t>
  </si>
  <si>
    <t>1262 POINT BREEZE AVENUE</t>
  </si>
  <si>
    <t>APORA - ORDER AFFIRMED BY APPELLATE CT: ORDER OF THE SUPERIOR COURT AT 2732 EDA 2016 THAT THE ORDER OF THE COURT OF COMMON PLEAS IS AFFIRMED.....4/4/18</t>
  </si>
  <si>
    <t>2023-01-30 16:40:00</t>
  </si>
  <si>
    <t>SCIOLI TURCO, INC. VS ESTATE OF EDITH DOBSON ETAL</t>
  </si>
  <si>
    <t>ALL UNKNOWN HEIRS; DOBSON ESTATE OFEDITH; DOBSON ESTATE OFWALTER</t>
  </si>
  <si>
    <t>3231 W CLIFFORD STREET</t>
  </si>
  <si>
    <t>M0462 - LISTED-STAT CONF CONSERVATOR: 57-23015257 STATUS HEARING SCHEDULED FOR 11/17/2023 AT 9:30 A.M. VIA ZOOM</t>
  </si>
  <si>
    <t>2018-09-20 11:30:00</t>
  </si>
  <si>
    <t>PA NEIGHBORHOOD DEVELOPMENT PARTNERSHIP VS BROWN E</t>
  </si>
  <si>
    <t>CAMERON 316, ROGER P; MCILHINNEY, MICHAEL P</t>
  </si>
  <si>
    <t>BROWN, ALTA C; BROWN, JEFFIE L</t>
  </si>
  <si>
    <t>AVALLONE, LAWRENCE J</t>
  </si>
  <si>
    <t>2621 INGERSOLL STREET</t>
  </si>
  <si>
    <t>ZR236 - NOTICE GIVEN UNDER RULE 236: NOTICE GIVEN ON 24-OCT-2019 OF ORDER ENTERED - FINAL DISPOS ENTERED ON 22-OCT-2019.</t>
  </si>
  <si>
    <t>2023-11-09 15:12:00</t>
  </si>
  <si>
    <t>LAMAR ETAL VS METROPOLY LLC</t>
  </si>
  <si>
    <t>LAMAR, THOMAS K; WILLIAMS, JAMAR G</t>
  </si>
  <si>
    <t>METROPOLY LLC</t>
  </si>
  <si>
    <t>3320 	3320 WHARTON ST</t>
  </si>
  <si>
    <t xml:space="preserve"> 36222710</t>
  </si>
  <si>
    <t>ENAPP - ENTRY OF APPEARANCE: ENTRY OF APPEARANCE OF PAUL J TONER AND ANDREA SALOMON GNECCO FILED. (FILED ON BEHALF OF METROPOLY LLC)</t>
  </si>
  <si>
    <t>2020-01-16 14:46:00</t>
  </si>
  <si>
    <t xml:space="preserve">PA NEIGHBORHOOD DEVELOPMENT PARTNERSHIP VS WENYAN </t>
  </si>
  <si>
    <t>WENYAN, LIU</t>
  </si>
  <si>
    <t>LEE, TIMOTHY F.T.</t>
  </si>
  <si>
    <t>2104 N 09TH ST</t>
  </si>
  <si>
    <t>PRSDE - PRAEC/SETTLE DISCONTINUE END: SETTLED VIA S D &amp; E PRAECIPE FILED. (FILED ON BEHALF OF PA NEIGHBORHOOD DEVELOPMENT PARTNERSHIP)</t>
  </si>
  <si>
    <t>2019-05-15 18:30:00</t>
  </si>
  <si>
    <t>KENNEDY, SANDRA</t>
  </si>
  <si>
    <t>2420 HARLAN STREET</t>
  </si>
  <si>
    <t>SATPT - PARTIAL SATISFACTION FILED: SATISFACTION FILED. (FILED ON BEHALF OF PHILADELPHIA COMMUNITY DEVELOPMENT COALITION INC)</t>
  </si>
  <si>
    <t>2016-08-15 17:39:00</t>
  </si>
  <si>
    <t>IS PINE LLC VS OSBOURNE</t>
  </si>
  <si>
    <t>OSBOURNE, DANE</t>
  </si>
  <si>
    <t>KARPF ESQ, JACK F</t>
  </si>
  <si>
    <t>5035 BALTIMORE AVENUE</t>
  </si>
  <si>
    <t>ZRDSC - PRAECIPE TO DISCONTINUE: ORDER TO DISCONTINUE WITHOUT PREJUDICE FILED. (FILED ON BEHALF OF IS PINE LLC)</t>
  </si>
  <si>
    <t>2016-08-02 12:05:00</t>
  </si>
  <si>
    <t>PHILADELPHIA COMMUNITY DEVELOPMENT COALITION VS MC</t>
  </si>
  <si>
    <t>MCNEAL, JABBAR</t>
  </si>
  <si>
    <t>1827 W THOMPSON STREET</t>
  </si>
  <si>
    <t>ZR236 - NOTICE GIVEN UNDER RULE 236: NOTICE GIVEN ON 22-DEC-2016 OF ORDER ENTERED/236 NOTICE GIVEN ENTERED ON 20-DEC-2016.</t>
  </si>
  <si>
    <t>2023-03-21 14:43:00</t>
  </si>
  <si>
    <t>EASTERLING VS RICHARDSON ETAL</t>
  </si>
  <si>
    <t>EASTERLING, FRANCINA</t>
  </si>
  <si>
    <t>ALL UNKNOWN HEIRS; PHILADELPHIA GAS WORKS; RICHARDSON, BESSIE; RICHARDSON, CHARLES</t>
  </si>
  <si>
    <t>919 N 30TH STREET</t>
  </si>
  <si>
    <t>MAILR - RETURNED MAIL RECEIVED: RETURN MAIL ORDER DATED 21-SEP-2023 AS UNDELIVERABLE AT THE ADDRESS ON FILE WITH THE COURT TO THE FOLLOWING PARTY: RITTER CONSUMER DISCOUNT COMPANY</t>
  </si>
  <si>
    <t>2017-09-14 15:54:00</t>
  </si>
  <si>
    <t>IN THE MIXX, LLC VS BAEHR ETAL</t>
  </si>
  <si>
    <t>IN THE MIXX LLC</t>
  </si>
  <si>
    <t>ALL UNKNOWN HEIRS; BAEHR ESTATE OF, MARIE; BAEHR, ROBERT</t>
  </si>
  <si>
    <t>2554 COLLINS STREET</t>
  </si>
  <si>
    <t>LISPR - RELEASE OF LIS PENDENS FILED: PRAECIPE TO RELEASE LIS PENDENS AS TO PREMISES 2554 COLLINS STREET, PHILADELPHIA 2545 FRANKFORD AVENUE , PHILADELPHIA FILED. (FILED ON BEHALF OF IN THE MIXX, LLC)</t>
  </si>
  <si>
    <t>2019-01-17 10:53:00</t>
  </si>
  <si>
    <t>TOLO PROPERTIES, LLC VS UNKNOWN HEIRS OF RAYMOND W</t>
  </si>
  <si>
    <t>UNKNOWN HEIRS OF RAYMOND WOODSON; WOODSON, RAYMOND</t>
  </si>
  <si>
    <t>1810 HARLAN STREET</t>
  </si>
  <si>
    <t>APORA - ORDER AFFIRMED BY APPELLATE CT: 375 CD 2019
AND NOW, THIS 26TH DAY OF MAY, 2020, THE FEBRUARY 15, 2019 ORDER OF THE PHILADELPHIA COUNTY COURT OF COMMON PLEAS IS AFFIRMED.</t>
  </si>
  <si>
    <t>2015-04-22 10:05:00</t>
  </si>
  <si>
    <t>SCIOLI TURCO, INC. VS KIRBY ETAL</t>
  </si>
  <si>
    <t>KIRBY, STEVEN A; KIRBY, YOLONDA P</t>
  </si>
  <si>
    <t>1430 S. 15TH STREET</t>
  </si>
  <si>
    <t>ZR236 - NOTICE GIVEN UNDER RULE 236: NOTICE GIVEN ON 11-MAY-2015 OF ORDER ENTERED - FINAL DISPOS ENTERED ON 05-MAY-2015.</t>
  </si>
  <si>
    <t>2020-10-29 10:55:00</t>
  </si>
  <si>
    <t>FISHTOWN KENSINGTON AREA BUSINESS IMPROVEMENT DISTRICT; SCIOLI TURCO INC</t>
  </si>
  <si>
    <t>DONNELL, TERRI LYNN; PHILADELPHIA BROTHERHOOD RESCUE MISSION INC</t>
  </si>
  <si>
    <t>401-405 E GIRARD AVENUE</t>
  </si>
  <si>
    <t>MAILR - RETURNED MAIL RECEIVED: RETURNED MAIL ORDER DATED 3/8/23 AS UNDELIVERABLE AT THE ADDRESS ON FILE WITH THE COURT TO THE FOLLOWING PARTY: PHILADELPHIA BROTHERHOOD RESCUE MISSION INC.</t>
  </si>
  <si>
    <t>2021-07-08 14:12:00</t>
  </si>
  <si>
    <t>REGAN VS POTEAT, JR. ETAL</t>
  </si>
  <si>
    <t>LACEY POTEAT JR AS EXECUTOR OF THE ESTATE OF MARY POTEAT; POTEAT JR, LACEY</t>
  </si>
  <si>
    <t>1913 CATHARINE STREET</t>
  </si>
  <si>
    <t>2022-08-16 12:59:00</t>
  </si>
  <si>
    <t>WOODS, REBECCA</t>
  </si>
  <si>
    <t>320 N EDGEWOOD</t>
  </si>
  <si>
    <t>M0462 - LISTED-STAT CONF CONSERVATOR: 42-22082842 STATUS CONFERENCE SCHEDULED FOR 2/9/2024 AT 10:30 A.M. VIA ZOOM.</t>
  </si>
  <si>
    <t>2018-09-20 10:50:00</t>
  </si>
  <si>
    <t>PA NEIGHBORHOOD DEVELOPMENT PARTNERSHIP VS SNITH E</t>
  </si>
  <si>
    <t>MONROE JR., VERNON EARL; SNITH, THERESA C</t>
  </si>
  <si>
    <t>LUBIN, JEFFREY B</t>
  </si>
  <si>
    <t>1255 N DOVER</t>
  </si>
  <si>
    <t>2016-06-02 11:40:00</t>
  </si>
  <si>
    <t>CIANFRANI, DEBORAH D; ROONEY V, JOHN F</t>
  </si>
  <si>
    <t>3101 N 05TH ST</t>
  </si>
  <si>
    <t>CORCT - CORRECTIVE ENTRY: 08-20112208 PETITION FOR APPROVAL OF FEES AND COSTS (FILED ON BEHALF OF 4 BRYNN, LLC) WAS FILED IN THE ABOVE CAPTION MATTER IS ERROR AND IT IS BEING MOVED TO THE CORRECT DOCKET OF 4 BRYNN LLC VS LUCIUS NEWMAN ADMR OF THE ESTATE CCP JUNE TERM 2017, NO 03318.</t>
  </si>
  <si>
    <t>2018-06-15 14:47:00</t>
  </si>
  <si>
    <t>GLOBAL GIVINGS DEVELOPMENT CORPORATION VS JEHOVAH-</t>
  </si>
  <si>
    <t>JEHOVAH-JIREH BAPTIST MINISTRIES INC</t>
  </si>
  <si>
    <t>2501 MASTER STREET</t>
  </si>
  <si>
    <t>2016-11-03 13:21:00</t>
  </si>
  <si>
    <t>MT. AIRY USA VS ALLEN, TRUSTEE ETAL</t>
  </si>
  <si>
    <t>ALLEN TRUSTEE, IRENE; BECKETT, EVELYN B; BRADLEY, JACQUELINE V; BROWN, MARCUS</t>
  </si>
  <si>
    <t>141 E GORGAS LANE</t>
  </si>
  <si>
    <t>2023-10-05 16:38:00</t>
  </si>
  <si>
    <t>PHILADELPHIA COMMUNITY GROWTH, INC. VS KEVIN ETAL</t>
  </si>
  <si>
    <t>KEVIN, WRIGHT J</t>
  </si>
  <si>
    <t>1215 MONTROSE STREET</t>
  </si>
  <si>
    <t>021038110</t>
  </si>
  <si>
    <t>LISPN - LIS PENDENS FILED: CERTIFICATION THAT THIS ACTION INVOLVES TITLE TO REAL ESTATE. PRAECIPE TO INDEX LIS PENDENS AS TO PREMISES 1215 MONTROSE STREET, PHILADELPHIA.</t>
  </si>
  <si>
    <t>2022-05-09 10:48:00</t>
  </si>
  <si>
    <t>AVDC INC</t>
  </si>
  <si>
    <t>JASKOWIAK, DAVID A; JOHNS III, ROBERT P</t>
  </si>
  <si>
    <t>1422 TASKER STREET</t>
  </si>
  <si>
    <t>2018-05-04 18:21:00</t>
  </si>
  <si>
    <t>GRATZ STREET CONDOS LLC</t>
  </si>
  <si>
    <t>KENIS, ANDREW J; KRIK, JUSTIN L</t>
  </si>
  <si>
    <t>1818 SEYBERT STREET</t>
  </si>
  <si>
    <t>2016-02-03 10:25:00</t>
  </si>
  <si>
    <t>SCIOLI TURCO, INC. VS TRINH ETAL</t>
  </si>
  <si>
    <t>TRINH, MINH-DUC</t>
  </si>
  <si>
    <t>MORRIS, GLEN</t>
  </si>
  <si>
    <t>721 WASHINGTON AVENUE</t>
  </si>
  <si>
    <t>2013-12-20 13:36:00</t>
  </si>
  <si>
    <t>UNIVERSAL BUILDING AND CONSTRUCTION, INC. VS WERNE</t>
  </si>
  <si>
    <t>WERNER, HERBERT D</t>
  </si>
  <si>
    <t>2035 E HAZZARD STREET</t>
  </si>
  <si>
    <t>2017-06-01 13:02:00</t>
  </si>
  <si>
    <t>MONREAL VS ONWARDS INCORPORATED ETAL</t>
  </si>
  <si>
    <t>MONREAL, DANIEL</t>
  </si>
  <si>
    <t>ONWARDS INC</t>
  </si>
  <si>
    <t>809 W LEHIGH AVENUE</t>
  </si>
  <si>
    <t>LISPR - RELEASE OF LIS PENDENS FILED: PRAECIPE TO RELEASE LIS PENDENS AS TO PREMISES 809 W LEHIGH AVENUE, PHILADELPHIA FILED. (FILED ON BEHALF OF DANIEL MONREAL)</t>
  </si>
  <si>
    <t>2016-08-15 18:39:00</t>
  </si>
  <si>
    <t>IS PINE, LLC VS IKEDIONWU</t>
  </si>
  <si>
    <t>IKEDIONWU, REGINA</t>
  </si>
  <si>
    <t>622 S 52ND STREET</t>
  </si>
  <si>
    <t>ZRDSC - PRAECIPE TO DISCONTINUE: ORDER TO DISCONTINUE WITHOUT PREJUDICE FILED. (FILED ON BEHALF OF IS PINE, LLC)</t>
  </si>
  <si>
    <t>2023-07-14 12:43:00</t>
  </si>
  <si>
    <t>HAVERFORD SQ GC LLC ETAL VS PRESSLEY ETAL</t>
  </si>
  <si>
    <t>PRESSLEY, AKEEM A</t>
  </si>
  <si>
    <t>222 MANHEIM STREET</t>
  </si>
  <si>
    <t>LISPN - LIS PENDENS FILED: CERTIFICATION THAT THIS ACTION INVOLVES TITLE TO REAL ESTATE. PRAECIPE TO INDEX LIS PENDENS AS TO PREMISES 222 MANHEIM STREET, PHILADELPHIA.</t>
  </si>
  <si>
    <t>2023-09-29 11:46:00</t>
  </si>
  <si>
    <t>PHILADELPHIA COMMUNITY GROWTH, INC. VS WRIGHT ETAL</t>
  </si>
  <si>
    <t>1214 CHRISTIAN STREET</t>
  </si>
  <si>
    <t>021019300</t>
  </si>
  <si>
    <t>LISPN - LIS PENDENS FILED: CERTIFICATION THAT THIS ACTION INVOLVES TITLE TO REAL ESTATE. PRAECIPE TO INDEX LIS PENDENS AS TO PREMISES 1214 CHRISTIAN STREET, PHILADELPHIA.</t>
  </si>
  <si>
    <t>2022-11-30 10:15:00</t>
  </si>
  <si>
    <t>WILLIAMS VS SALKADE ETAL</t>
  </si>
  <si>
    <t>WILLIAMS, BRANDON</t>
  </si>
  <si>
    <t>SALKADE, NITIN</t>
  </si>
  <si>
    <t>MILLER 789, SHANNON P</t>
  </si>
  <si>
    <t>1534 S 18TH STREET</t>
  </si>
  <si>
    <t>M0462 - LISTED-STAT CONF CONSERVATOR: 49-22117349 STATUS HEARING SCHEDULED FOR 1/11/2024 AT 3:30 P.M. VIA ZOOM.</t>
  </si>
  <si>
    <t>2018-01-25 15:42:00</t>
  </si>
  <si>
    <t>WOLF VS SANTIAGO ETAL</t>
  </si>
  <si>
    <t>WOLF, BARBARA</t>
  </si>
  <si>
    <t>MCCABE, CHRISTOPHER I; YOUNG, ROBERT L</t>
  </si>
  <si>
    <t>SANTIAGO, MIGUEL A; SANTIAGO, NORIS</t>
  </si>
  <si>
    <t>GREENSPON, JASON R; GUTMAN, RICHARD A; SALAMAN, DREW; SOBEL, JONATHAN J; VANDERSLICE, RICHARD L</t>
  </si>
  <si>
    <t>1601 W MOUNT VERNON STREET</t>
  </si>
  <si>
    <t>ZR236 - NOTICE GIVEN UNDER RULE 236: NOTICE GIVEN ON 17-MAY-2023 OF ORDER ENTERED - FINAL DISPOS ENTERED ON 17-MAY-2023.</t>
  </si>
  <si>
    <t>2016-06-21 17:32:00</t>
  </si>
  <si>
    <t>PHILADELPHIA COMMUNITY DEVELOPMENT COALITION VS</t>
  </si>
  <si>
    <t>KLEIN, JARED N; TONER, PAUL J</t>
  </si>
  <si>
    <t>WOODS, ELLE TY</t>
  </si>
  <si>
    <t>2316 GERRITT STREET</t>
  </si>
  <si>
    <t>LISPR - RELEASE OF LIS PENDENS FILED: PRAECIPE TO RELEASE LIS PENDENS AS TO PREMISES 2316 GERRITT, PHILADELPHIA FILED. (FILED ON BEHALF OF PHILADELPHIA COMMUNITY DEVELOPMENT COALITION)</t>
  </si>
  <si>
    <t>2023-11-01 11:24:00</t>
  </si>
  <si>
    <t>JONES EXECUTOR OF THE ESTATE OF AVANT JONES, MICHELLE</t>
  </si>
  <si>
    <t>3137 EUCLID STREET</t>
  </si>
  <si>
    <t>MTASN - MOTION ASSIGNED: 37-23110337 PET-APPT CONSERVATOR-ACT 135 ASSIGNED TO JUDGE: JUDGE, CONSERVATORSHIP . ON DATE: NOVEMBER 07, 2023</t>
  </si>
  <si>
    <t>2022-06-06 21:55:00</t>
  </si>
  <si>
    <t>RUSSO REALTY PROPERTIES LLC</t>
  </si>
  <si>
    <t>2139 SEARS STREET</t>
  </si>
  <si>
    <t>2017-01-31 17:31:00</t>
  </si>
  <si>
    <t>MT. AIRY USA VS BOUNASSISI ETAL</t>
  </si>
  <si>
    <t>BOUNASSISI, ALEX B; BOUNASSISI, ANITA</t>
  </si>
  <si>
    <t>FURLONG, PAUL J</t>
  </si>
  <si>
    <t>5118 NEWHALL STREET</t>
  </si>
  <si>
    <t>ZR236 - NOTICE GIVEN UNDER RULE 236: NOTICE GIVEN ON 19-APR-2018 OF ORDER ENTERED - FINAL DISPOS ENTERED ON 18-APR-2018.</t>
  </si>
  <si>
    <t>2023-10-18 18:14:00</t>
  </si>
  <si>
    <t>SCIOLI TURCO, INC. VS JACKSON ETAL</t>
  </si>
  <si>
    <t>JACKSON, BIANA R; JACKSON, CHEYENNE</t>
  </si>
  <si>
    <t>5106-08 GERMANTOWN AVENUE</t>
  </si>
  <si>
    <t>MTASN - MOTION ASSIGNED: 01-23103701 PET-APPT CONSERVATOR-ACT 135 ASSIGNED TO JUDGE: JUDGE, CONSERVATORSHIP . ON DATE: OCTOBER 23, 2023</t>
  </si>
  <si>
    <t>2019-01-22 11:37:00</t>
  </si>
  <si>
    <t>SDLOMO PARTNERS L.L.C. VS SWINGLER ETAL</t>
  </si>
  <si>
    <t>SDLOMO PARTNERS LLC</t>
  </si>
  <si>
    <t>SWINGLER, JESSIE</t>
  </si>
  <si>
    <t>1330 W CLEARFIELD</t>
  </si>
  <si>
    <t>ZR236 - NOTICE GIVEN UNDER RULE 236: NOTICE GIVEN ON 15-FEB-2019 OF ORDER ENTERED - FINAL DISPOS ENTERED ON 13-FEB-2019.</t>
  </si>
  <si>
    <t>2018-08-28 12:58:00</t>
  </si>
  <si>
    <t>SCIOLI TURCO, INC.  VS BRAUDE ETAL</t>
  </si>
  <si>
    <t>BRAUDE, RICHARD</t>
  </si>
  <si>
    <t>STRAMPELLO, JOSEPH</t>
  </si>
  <si>
    <t>2019 S OPAL STREET</t>
  </si>
  <si>
    <t>ZR236 - NOTICE GIVEN UNDER RULE 236: NOTICE GIVEN ON 11-OCT-2019 OF ORDER ENTERED - FINAL DISPOS ENTERED ON 11-OCT-2019.</t>
  </si>
  <si>
    <t>2023-11-09 12:48:00</t>
  </si>
  <si>
    <t xml:space="preserve">WILLIAMS VS CHURCH OF SCIENTOLOGY OF PENNSYLVANIA </t>
  </si>
  <si>
    <t>CHURCH OF SCIENTOLOGY OF PENNSYLVANIA; THOMPSON, BRUCE</t>
  </si>
  <si>
    <t>1312-14 CHESTNUT</t>
  </si>
  <si>
    <t xml:space="preserve">	77107960</t>
  </si>
  <si>
    <t>MTASN - MOTION ASSIGNED: 78-23112378 MOT-PROCEED IN FORMA PAUPERIS ASSIGNED TO JUDGE: JUDGE, SUPERVISING . ON DATE: NOVEMBER 09, 2023</t>
  </si>
  <si>
    <t>2016-08-08 17:43:00</t>
  </si>
  <si>
    <t>MT. AIRY USA VS WELLS ETAL</t>
  </si>
  <si>
    <t>WELLS, LAWRENCE C; WELLS, OVELLA</t>
  </si>
  <si>
    <t>KEENHEEL, MARK S; SAILER, STEVEN H</t>
  </si>
  <si>
    <t>45 W UPSAL STREET</t>
  </si>
  <si>
    <t>MAILR - RETURNED MAIL RECEIVED: RETURNED MAIL ORDER DATED 05/16/19 AS UNDELIVERABLE AT THE ADDRESS ON FILE WITH THE COURT TO THE FOLLOWING PARTY: LAWRENCE C WELLS.</t>
  </si>
  <si>
    <t>2021-04-21 07:58:00</t>
  </si>
  <si>
    <t>UNKNOWN HEIRS OF HAROLD E BEALE JR</t>
  </si>
  <si>
    <t>315 N PRESTON STREET</t>
  </si>
  <si>
    <t>061181900</t>
  </si>
  <si>
    <t>MAILR - RETURNED MAIL RECEIVED: RETURNED MAIL ORDER DATED 9/14/21 AS UNDELIVERABLE AT THE ADDRESS ON FILE WITH THE COURT TO THE FOLLOWING PARTY: THOMAS GILBERT</t>
  </si>
  <si>
    <t>2016-01-13 17:07:00</t>
  </si>
  <si>
    <t>CHAMPAGNE ETAL VS COBBS ETAL</t>
  </si>
  <si>
    <t>COBBS, EARLINE S; UNKNOWN HEIRS OF EARLINE S COBBS</t>
  </si>
  <si>
    <t>SHINGLES, EVAN S; SHINGLES, STANLEY M</t>
  </si>
  <si>
    <t>837 CAMERON STREET</t>
  </si>
  <si>
    <t>2018-06-01 17:31:00</t>
  </si>
  <si>
    <t>BRANHAM-WALTON, BARBARA</t>
  </si>
  <si>
    <t>VANDERSLICE, RICHARD L; VONROSENSTIEL, MARTHA E</t>
  </si>
  <si>
    <t>1831 LATONA STREET</t>
  </si>
  <si>
    <t>ORDMN - COURT ORDERED PAYOUT OF ESCROW: CHECK #9509 IN THE AMOUNT OF $56,257.10 WAS RELEASED TO RESPONDENT BARBARA BRANHAM WALTON</t>
  </si>
  <si>
    <t>2013-06-19 22:00:00</t>
  </si>
  <si>
    <t>3040 BALTZ LLC VS EPURE   ETAL</t>
  </si>
  <si>
    <t>3040 BALTZ LLC</t>
  </si>
  <si>
    <t>CAMPBELL, BRUCE; EPURE, EDWARD</t>
  </si>
  <si>
    <t>ANASTASIO, VERN</t>
  </si>
  <si>
    <t>3043 BALTZ STREET</t>
  </si>
  <si>
    <t>ZRDSC - PRAECIPE TO DISCONTINUE: ORDER TO DISCONTINUE WITHOUT PREJUDICE FILED. (FILED ON BEHALF OF 3040 BALTZ LLC)</t>
  </si>
  <si>
    <t>2017-10-19 14:27:00</t>
  </si>
  <si>
    <t>CHRISTIAN MISSION FELLOWSHIP BAPTIST CHURCH</t>
  </si>
  <si>
    <t>LISPR - RELEASE OF LIS PENDENS FILED: PRAECIPE TO RELEASE LIS PENDENS AS TO PREMISES 2131-33 SEYBERT STREET, PHILADELPHIA FILED. (FILED ON BEHALF OF PHILADELPHIA COMMUNITY DEVELOPMENT COALITION INC)</t>
  </si>
  <si>
    <t>2013-06-19 21:48:00</t>
  </si>
  <si>
    <t>3040 BALTZ LLC VS EPURE  ETAL</t>
  </si>
  <si>
    <t>ANASTASIO, VERN; RIGA, JOSEPH F; TRAINOR, MICHAEL P</t>
  </si>
  <si>
    <t>3045 BALTZ STREET</t>
  </si>
  <si>
    <t>PRSDE - PRAEC/SETTLE DISCONTINUE END: SETTLED VIA S D &amp; E PRAECIPE FILED. (FILED ON BEHALF OF 3040 BALTZ LLC)</t>
  </si>
  <si>
    <t>2024-01-15 15:31:00</t>
  </si>
  <si>
    <t>DEUTSCHE BANK NAT'L TRUST CO F/K/A BANKERS TRUST CO OF CA</t>
  </si>
  <si>
    <t>5633 CROWSON STREET</t>
  </si>
  <si>
    <t>MTASN - MOTION ASSIGNED: 35-24012835 PET-APPT CONSERVATOR-ACT 135 ASSIGNED TO JUDGE: JUDGE, CONSERVATORSHIP . ON DATE: JANUARY 22, 2024</t>
  </si>
  <si>
    <t>2023-08-21 11:42:00</t>
  </si>
  <si>
    <t>BECKHAM, JOYCE; BECKHAM, KATHERINE F</t>
  </si>
  <si>
    <t>1862 WIDENER PLACE</t>
  </si>
  <si>
    <t>LISPN - LIS PENDENS FILED: CERTIFICATION THAT THIS ACTION INVOLVES TITLE TO REAL ESTATE. PRAECIPE TO INDEX LIS PENDENS AS TO PREMISES 1862 WIDENER PLACE, PHILADELPHIA.</t>
  </si>
  <si>
    <t>2013-10-07 12:06:00</t>
  </si>
  <si>
    <t>SCIOLI TURCO, INC. VS TETI ETAL</t>
  </si>
  <si>
    <t>TETI, JOHN</t>
  </si>
  <si>
    <t>1167 S CLARION</t>
  </si>
  <si>
    <t>021615300</t>
  </si>
  <si>
    <t>LISPR - RELEASE OF LIS PENDENS FILED: PRAECIPE TO RELEASE LIS PENDENS AS TO PREMISES 1167 S CLARION STREET, PHILADELPHIA FILED. (FILED ON BEHALF OF SCIOLI TURCO, INC.)</t>
  </si>
  <si>
    <t>2016-01-08 16:18:00</t>
  </si>
  <si>
    <t>BAJAN SOLUTIONS LLC; POWASERYS, CECILIA; POWASERYS, WESLEY</t>
  </si>
  <si>
    <t>ZR236 - NOTICE GIVEN UNDER RULE 236: NOTICE GIVEN ON 20-MAR-2019 OF ORDER ENTERED - FINAL DISPOS ENTERED ON 19-MAR-2019.</t>
  </si>
  <si>
    <t>2023-11-14 15:06:00</t>
  </si>
  <si>
    <t>WILLIAMS VS ROOKLIN ETAL</t>
  </si>
  <si>
    <t>ROOKLIN, NEIL</t>
  </si>
  <si>
    <t>3820-24 BARING ST</t>
  </si>
  <si>
    <t xml:space="preserve">	 8829708</t>
  </si>
  <si>
    <t>MTASN - MOTION ASSIGNED: 04-23113604 PET-APPT CONSERVATOR-ACT 135 ASSIGNED TO JUDGE: JUDGE, CONSERVATORSHIP . ON DATE: NOVEMBER 17, 2023</t>
  </si>
  <si>
    <t>2016-09-28 18:00:00</t>
  </si>
  <si>
    <t>UNITED AGAINST BLIGHT LLC VS MALESIEWSKI ETAL</t>
  </si>
  <si>
    <t>UNITED AGAINST BLIGHT LLC</t>
  </si>
  <si>
    <t>ADAMS, OLIVIA A; MCILHINNEY, MICHAEL P; TONER, PAUL J</t>
  </si>
  <si>
    <t>MALESIEWSKI, OLGA</t>
  </si>
  <si>
    <t>224 CATHARINE STREET</t>
  </si>
  <si>
    <t>022045200</t>
  </si>
  <si>
    <t>ZR236 - NOTICE GIVEN UNDER RULE 236: NOTICE GIVEN ON 01-MAY-2020 OF ORDER ENTERED - FINAL DISPOS ENTERED ON 30-APR-2020.</t>
  </si>
  <si>
    <t>2023-08-06 20:29:00</t>
  </si>
  <si>
    <t>HARRIS, BLAINE E.; HARRIS UNKNOWN HEIRS OF, CURLEY M</t>
  </si>
  <si>
    <t>4213 HAVERFORD AVENUE</t>
  </si>
  <si>
    <t>061051900</t>
  </si>
  <si>
    <t>LISPN - LIS PENDENS FILED: CERTIFICATION THAT THIS ACTION INVOLVES TITLE TO REAL ESTATE. PRAECIPE TO INDEX LIS PENDENS AS TO PREMISES 4213 HAVERFORD AVENUE, PHILADELPHIA.</t>
  </si>
  <si>
    <t>2015-07-08 14:15:00</t>
  </si>
  <si>
    <t>GLY INVESTMENTS, LLC VS ESTATE OF FANNIE TEAGLE ET</t>
  </si>
  <si>
    <t>TEAGLE ESTATE OF, FANNIE</t>
  </si>
  <si>
    <t>KOELSCH 273, YEKATERINA; OLSON, JON-MICHAEL; ZWOLAK, JAMES J</t>
  </si>
  <si>
    <t>4047 GREEN STREET</t>
  </si>
  <si>
    <t>061042300</t>
  </si>
  <si>
    <t>ZR236 - NOTICE GIVEN UNDER RULE 236: NOTICE GIVEN ON 25-OCT-2016 OF ORDER ENTERED - FINAL DISPOS ENTERED ON 25-OCT-2016.</t>
  </si>
  <si>
    <t>2015-10-19 13:09:00</t>
  </si>
  <si>
    <t>ZIMMERMAN VS BRAUN ETAL</t>
  </si>
  <si>
    <t>ZIMMERMAN, SARA</t>
  </si>
  <si>
    <t>BRAUN, BERNADINE; BRAUN, FRANK</t>
  </si>
  <si>
    <t>WILLIAMS, PAM</t>
  </si>
  <si>
    <t>1428 N ORIANNA</t>
  </si>
  <si>
    <t>ZR236 - NOTICE GIVEN UNDER RULE 236: NOTICE GIVEN ON 08-NOV-2018 OF ORDER ENTERED - FINAL DISPOS ENTERED ON 07-NOV-2018.</t>
  </si>
  <si>
    <t>2019-04-04 10:30:00</t>
  </si>
  <si>
    <t>SDLOMO PARTNERS, LLC VS SWINGLER ETAL</t>
  </si>
  <si>
    <t>ZR236 - NOTICE GIVEN UNDER RULE 236: NOTICE GIVEN ON 27-OCT-2022 OF ORDER ENTERED - FINAL DISPOS ENTERED ON 26-OCT-2022.</t>
  </si>
  <si>
    <t>2017-07-21 13:46:00</t>
  </si>
  <si>
    <t>KROPP VS VOONG ETAL</t>
  </si>
  <si>
    <t>KROPP, THOMAS</t>
  </si>
  <si>
    <t>VOONG, SENG</t>
  </si>
  <si>
    <t>1928 GERRITT STREET</t>
  </si>
  <si>
    <t>M0378 - CORRECTION TO JUDGMENT INDEX: CORRECTION TO LOCALITY INDEX: LIS PENDENS REMOVED PURSUANT TO COURT ORDER DATED 02/06/2018</t>
  </si>
  <si>
    <t>2019-01-22 18:00:00</t>
  </si>
  <si>
    <t>MOTEN, RYKEEDA D</t>
  </si>
  <si>
    <t>1836 W SEYBERT STREET</t>
  </si>
  <si>
    <t>PRSDE - PRAEC/SETTLE DISCONTINUE END: PRAECIPE TO SETTLE, DISCONTINUE, AND END FILED.</t>
  </si>
  <si>
    <t>2016-03-23 14:50:00</t>
  </si>
  <si>
    <t>SABO VS ISHAAN CONSTRUCTION CO., LLC</t>
  </si>
  <si>
    <t>ISHAAN CONSTRUCTION COMPANY LLC</t>
  </si>
  <si>
    <t>1307 POINT BREEZE AVENUE</t>
  </si>
  <si>
    <t>2021-01-19 12:51:00</t>
  </si>
  <si>
    <t>3858 GIRARD LLC VS MONOPOLY REALTY BROTHERS, LLC E</t>
  </si>
  <si>
    <t>MONOPOLY REALTY BROTHERS LLC</t>
  </si>
  <si>
    <t>PAUL, ANDREA B</t>
  </si>
  <si>
    <t>3820 W GIRARD AVENUE</t>
  </si>
  <si>
    <t>LISPR - RELEASE OF LIS PENDENS FILED: ***CORRECTION TO JUDGMENT INDEX: LIS PENDENS RELEASED PURSUANT TO COURT ORDER DATED 04-07-2022. INDEX UPDATED 04-08-2022.</t>
  </si>
  <si>
    <t>2022-04-27 12:25:00</t>
  </si>
  <si>
    <t>UNKNOWN HEIRS OF RUTH JONES</t>
  </si>
  <si>
    <t>3003 PAGE</t>
  </si>
  <si>
    <t>2016-11-03 14:09:00</t>
  </si>
  <si>
    <t>MT. AIRY USA VS WOOD ETAL</t>
  </si>
  <si>
    <t>WOOD, MARGARET D</t>
  </si>
  <si>
    <t>JOHNSON, THOMAS F</t>
  </si>
  <si>
    <t>108 W ALLENS LANE</t>
  </si>
  <si>
    <t>092075100</t>
  </si>
  <si>
    <t>LISPR - RELEASE OF LIS PENDENS FILED: PRAECIPE TO RELEASE LIS PENDENS AS TO PREMISES 108 W ALLENS LANE, PHILADELPHIA FILED. (FILED ON BEHALF OF MT. AIRY USA)</t>
  </si>
  <si>
    <t>2018-05-15 12:25:00</t>
  </si>
  <si>
    <t>GLOBAL GIVINGS DEVELOPMENT CORPORATION VS ANDRII T</t>
  </si>
  <si>
    <t>ALL UNKNOWN HEIRS; ANDRII TARASOV; CAMPITELLI ESTATE OF, GUIDO; CAMPITELLI ESTATE OF, LAURA</t>
  </si>
  <si>
    <t>1708 SIGEL STREET</t>
  </si>
  <si>
    <t>PRSDE - PRAEC/SETTLE DISCONTINUE END: SETTLED VIA S D &amp; E PRAECIPE FILED. (FILED ON BEHALF OF GLOBAL GIVINGS DEVELOPMENT CORPORATION)</t>
  </si>
  <si>
    <t>2023-03-31 11:51:00</t>
  </si>
  <si>
    <t>710 N 42ND ST, LLC VS MARTIN ETAL</t>
  </si>
  <si>
    <t>710 N 42ND ST LLC</t>
  </si>
  <si>
    <t>MARTIN, GILBERT</t>
  </si>
  <si>
    <t>OWENS II, DEAN F</t>
  </si>
  <si>
    <t>4066 SPRING GARDEN</t>
  </si>
  <si>
    <t>061031700</t>
  </si>
  <si>
    <t>M0462 - LISTED-STAT CONF CONSERVATOR: 29-23036629 STATUS HEARING SCHEDULED FOR 1/5/2024 AT 1:30 P.M. VIA ZOOM</t>
  </si>
  <si>
    <t>2018-06-29 16:48:00</t>
  </si>
  <si>
    <t>ALL UNKNOWN HEIRS; BEAL ESTATE OF, IRENE L</t>
  </si>
  <si>
    <t>M0378 - CORRECTION TO JUDGMENT INDEX: CORRECTION TO LOCALITY INDEX: LIS PENDENS LIFTED PURSUANT TO COURT ORDER DATED 07/12/2018. INDEX UPDATED ON 07/18/2018</t>
  </si>
  <si>
    <t>2014-04-28 17:26:00</t>
  </si>
  <si>
    <t>GLY INVESTMENTS LLC VS TEAGLE ETAL</t>
  </si>
  <si>
    <t>TEAGLE, ROBERT</t>
  </si>
  <si>
    <t>ZR236 - NOTICE GIVEN UNDER RULE 236: NOTICE GIVEN ON 19-MAR-2015 OF ORDER ENTERED - FINAL DISPOS ENTERED ON 18-MAR-2015.</t>
  </si>
  <si>
    <t>2023-06-15 13:10:00</t>
  </si>
  <si>
    <t>SCIOLI TURCO INC. VS FANG</t>
  </si>
  <si>
    <t>PICCIRILLI, GAETANO P</t>
  </si>
  <si>
    <t>FANG, SHYH-RONG G</t>
  </si>
  <si>
    <t>204 S 41ST STREET</t>
  </si>
  <si>
    <t>LISPN - LIS PENDENS FILED: CERTIFICATION THAT THIS ACTION INVOLVES TITLE TO REAL ESTATE. PRAECIPE TO INDEX LIS PENDENS AS TO PREMISES 204 S 41ST STREET, PHILADELPHIA.</t>
  </si>
  <si>
    <t>2014-07-09 14:05:00</t>
  </si>
  <si>
    <t>1434 GERMANTOWN AVENUE</t>
  </si>
  <si>
    <t>LISPR - RELEASE OF LIS PENDENS FILED: PRAECIPE TO RELEASE LIS PENDENS AS TO PREMISES 1434 GERMANTOWN AVENUE, PHILADELPHIA FILED. (FILED ON BEHALF OF 1436-44 GERMANTOWN AVENUE ASSOCIATES, L.L.C.)</t>
  </si>
  <si>
    <t>2021-11-01 16:29:00</t>
  </si>
  <si>
    <t>PHILADELPHIA COMMUNITY GROWTH, INC. VS SHEILA HARD</t>
  </si>
  <si>
    <t>MCILHINNEY, MICHAEL P; PFIRRMAN, JOHN ROBERT; SALOMON GNECCO, ANDREA; TONER, PAUL J</t>
  </si>
  <si>
    <t>SHEILA HARDY KNOWN HEIR OF FANNIE B RAMSEY; STAGGERS-FIELDS, JACQUELINE M; UNKNOWN HEIRS OF FANNIE B RAMSEY</t>
  </si>
  <si>
    <t>CAMERON 316, ROGER P; PALMER, ALEXANDER; ST JOSEPH, ANTHONY</t>
  </si>
  <si>
    <t>2247 CATHARINE STREET</t>
  </si>
  <si>
    <t>ZR236 - NOTICE GIVEN UNDER RULE 236: NOTICE GIVEN ON 22-DEC-2023 OF ORDER ENTERED/236 NOTICE GIVEN ENTERED ON 21-DEC-2023.</t>
  </si>
  <si>
    <t>2017-09-05 16:04:00</t>
  </si>
  <si>
    <t>2519 N 02ND STREET</t>
  </si>
  <si>
    <t>2018-09-11 18:46:00</t>
  </si>
  <si>
    <t>BLISSFUL ENTERPRISES LLC</t>
  </si>
  <si>
    <t>1264 N 23RD STREET</t>
  </si>
  <si>
    <t>M0378 - CORRECTION TO JUDGMENT INDEX: CORRECTION TO IN REM INDEX: THE LIS PENDENS AGAINST 1264 NORTH 23RD STREET IS LIFTED PURSUANT TO COURT ORDER DATED 8/15/19.  IN REM INDEX UPDATED ON 8/20/19.</t>
  </si>
  <si>
    <t>2022-09-26 10:11:00</t>
  </si>
  <si>
    <t>RAZA ETAL VS SEAWOLF, LLC ETAL</t>
  </si>
  <si>
    <t>CANTY-BUNDY, LOUISE; RAZA, RAHIL</t>
  </si>
  <si>
    <t>SEAWOLF LLC</t>
  </si>
  <si>
    <t>1320-22 N SMEDLEY STREET</t>
  </si>
  <si>
    <t>ZR236 - NOTICE GIVEN UNDER RULE 236: NOTICE GIVEN ON 14-APR-2023 OF ORDER ENTERED - FINAL DISPOS ENTERED ON 14-APR-2023.</t>
  </si>
  <si>
    <t>2023-09-15 15:53:00</t>
  </si>
  <si>
    <t>LISPN - LIS PENDENS FILED: CERTIFICATION THAT THIS ACTION INVOLVES TITLE TO REAL ESTATE. PRAECIPE TO INDEX LIS PENDENS AS TO PREMISES 129 E POMONA STREET, PHILADELPHIA.</t>
  </si>
  <si>
    <t>2016-12-05 16:56:00</t>
  </si>
  <si>
    <t>SCIOLI TURCO, INC. VS TRAN ETAL</t>
  </si>
  <si>
    <t>JDAGR - JUDGMENT ENTERED BY AGREEMNT</t>
  </si>
  <si>
    <t>PICCIRILLI, GAETANO P; PLATT, MONICA C; STEIN, JONATHAN E; VANDERSLICE, RICHARD L</t>
  </si>
  <si>
    <t>500 LOFT LLC; TRAN, QUYEN V</t>
  </si>
  <si>
    <t>MARQUEZ, ENRIQUE; ZWOLAK, JAMES J</t>
  </si>
  <si>
    <t>411-19 N 09TH STREET</t>
  </si>
  <si>
    <t>ZR236 - NOTICE GIVEN UNDER RULE 236: NOTICE GIVEN ON 21-MAY-2021 OF JUDGMENT ENTERED BY AGREEMNT ENTERED ON 20-MAY-2021.</t>
  </si>
  <si>
    <t>2013-10-04 15:35:00</t>
  </si>
  <si>
    <t>SCIOLI TURCO, INC. VS LEROY ETAL</t>
  </si>
  <si>
    <t>LEROY, ANDERSON</t>
  </si>
  <si>
    <t>PARKS ESQ, LEONARD R</t>
  </si>
  <si>
    <t>1514 DICKINSON</t>
  </si>
  <si>
    <t>2022-01-28 15:40:00</t>
  </si>
  <si>
    <t>RASHID, AHMAD</t>
  </si>
  <si>
    <t>2146 N 09TH STREET</t>
  </si>
  <si>
    <t>2018-05-15 16:04:00</t>
  </si>
  <si>
    <t>SELECT NEIGHBORHOODS, INC. VS PERALTA ETAL</t>
  </si>
  <si>
    <t>PERALTA, RAMONE ORLANDO</t>
  </si>
  <si>
    <t>3040-42 W DIAMOND STREET</t>
  </si>
  <si>
    <t>MAILR - RETURNED MAIL RECEIVED: RETURNED MAIL ORDER DATED 01/20/21 AS UNDELIVERABLE AT THE ADDRESS ON FILE WITH THE COURT TO THE FOLLOWING PARTY: COMMONWEALTH OF PA DEPT OF LABOR AND INDUSTRY.</t>
  </si>
  <si>
    <t>2021-08-03 11:28:00</t>
  </si>
  <si>
    <t>CALHOUN VS BAKER-FANN ETAL</t>
  </si>
  <si>
    <t>CALHOUN, SANDRA</t>
  </si>
  <si>
    <t>BAKER-FANN, KEHINDE; FANN ESTATE OF, ALBERTA</t>
  </si>
  <si>
    <t>FOXWORTH JR, RODERICK L; PATTERSON, DANYL S</t>
  </si>
  <si>
    <t>1009 BELMONT AVENUE</t>
  </si>
  <si>
    <t>062333000</t>
  </si>
  <si>
    <t>MAILR - RETURNED MAIL RECEIVED: RETURNED MAIL ORDER DATED 6/23/22 AS UNDELIVERABLE AT THE ADDRESS ON FILE WITH THE COURT TO THE FOLLOWING PARTY: ALBERTA FANN ESTATE OF.</t>
  </si>
  <si>
    <t>2019-05-16 16:26:00</t>
  </si>
  <si>
    <t>2418 HARLAN LLC; UNKNOWN HEIRS OF CHARLES E DOLEMAN</t>
  </si>
  <si>
    <t>2418 HARLAN STREET</t>
  </si>
  <si>
    <t>2020-01-16 14:29:00</t>
  </si>
  <si>
    <t xml:space="preserve">PA NEIGHBORHOOD DEVELOPMENT PARTNERSHIP VS NICOLE </t>
  </si>
  <si>
    <t>NICOLE HAWKINS INVESTMENT</t>
  </si>
  <si>
    <t>2114 N FRANKLIN ST</t>
  </si>
  <si>
    <t>2019-04-17 15:07:00</t>
  </si>
  <si>
    <t>BREW DEVELOPMENT LLC</t>
  </si>
  <si>
    <t>1530 N 25TH</t>
  </si>
  <si>
    <t>2022-05-16 13:27:00</t>
  </si>
  <si>
    <t>HAVERFORD SQUARE - BELMONT, LLC ETAL VS VERNER</t>
  </si>
  <si>
    <t>41 BROWN LLC; HAVERFORD SQUARE - BELMONT LLC</t>
  </si>
  <si>
    <t>VERNER, AARON; VERNER, HERBERT; VERNER, ISIAH; VERNER JR, CALVIN; VERNER JR, JEFFREY; VERNER, WANDA</t>
  </si>
  <si>
    <t>1221 BELMONT AVENUE</t>
  </si>
  <si>
    <t>M0462 - LISTED-STAT CONF CONSERVATOR: 01-22052901 STATUS CONFERENCE SCHEDULED FOR 2/16/2024 AT 3:30 P.M. VIA ZOOM</t>
  </si>
  <si>
    <t>2017-08-03 12:40:00</t>
  </si>
  <si>
    <t>UNKNOWN HEIRS OF NISSIM ZUARES; ZUARES, NISSIM</t>
  </si>
  <si>
    <t>KALE, JEFFREY N</t>
  </si>
  <si>
    <t>930 N 02ND STREET</t>
  </si>
  <si>
    <t>ZR236 - NOTICE GIVEN UNDER RULE 236: NOTICE GIVEN ON 21-JUN-2018 OF ORDER ENTERED - FINAL DISPOS ENTERED ON 20-JUN-2018.</t>
  </si>
  <si>
    <t>2016-05-25 12:32:00</t>
  </si>
  <si>
    <t>RAZADOSI PROPERTIES LLC VS THOMAS E. WOODARD AND A</t>
  </si>
  <si>
    <t>RAZADOSI PROPERTIES LLC</t>
  </si>
  <si>
    <t>WOODARD AND ALL UNKNOWN HEIRS, THOMAS E</t>
  </si>
  <si>
    <t>1321 N 19TH ST</t>
  </si>
  <si>
    <t>AFDVT - AFFIDAVIT OF SERVICE FILED: AFFIDAVIT OF SERVICE OF PLAINTIFF'S COMPLAINT UPON THOMAS E. WOODARD AND ALL UNKNOWN HEIRS BY PERSONAL SERVICE ON 06/09/2016 FILED. (FILED ON BEHALF OF RAZADOSI PROPERTIES LLC)</t>
  </si>
  <si>
    <t>2016-10-12 16:32:00</t>
  </si>
  <si>
    <t>HOLLY STREET INVESTMENTS VS STEVENS ETAL</t>
  </si>
  <si>
    <t>HOLLY STREET INVESTMENTS</t>
  </si>
  <si>
    <t>STEVENS, DARLENE</t>
  </si>
  <si>
    <t>769 S 20TH</t>
  </si>
  <si>
    <t>M0378 - CORRECTION TO JUDGMENT INDEX: CORRECTION TO LOCALITY INDEX: LIS PENDENS WITHDRAWN PURSUANT TO COURT ORDER DATED 04/25/2017. INDEX UPDATED ON 05/01/2017</t>
  </si>
  <si>
    <t>2018-05-04 15:49:00</t>
  </si>
  <si>
    <t>PEARSON, CAROL; PEARSON, IRVING</t>
  </si>
  <si>
    <t>CAMPESE JR., FRANK</t>
  </si>
  <si>
    <t>1811 LATONA STREET</t>
  </si>
  <si>
    <t>2018-07-23 12:30:00</t>
  </si>
  <si>
    <t>GLOBAL GIVINGS DEVELOPMENT CORPORATION VS DOWD ETA</t>
  </si>
  <si>
    <t>DOWD, KERRY I</t>
  </si>
  <si>
    <t>BARR, DIANE E</t>
  </si>
  <si>
    <t>4208 CHESTNUT STREET</t>
  </si>
  <si>
    <t>2016-11-23 13:07:00</t>
  </si>
  <si>
    <t>PRTNS CO VS THE ESTATE OF LUCIANO ROMAN ETAL</t>
  </si>
  <si>
    <t>PRTNS COMPANY</t>
  </si>
  <si>
    <t>CARMEN ROMAN, ADMINISTRATOR; ROMAN ESTATE OF, LUCIANO</t>
  </si>
  <si>
    <t>1605 GERMANTOWN AVENUE</t>
  </si>
  <si>
    <t>LISPR - RELEASE OF LIS PENDENS FILED: PRAECIPE TO RELEASE LIS PENDENS AS TO PREMISES 1605 GERMANTOWN AVENUE, PHILADELPHIA FILED. (FILED ON BEHALF OF PRTNS CO)</t>
  </si>
  <si>
    <t>2016-12-21 11:33:00</t>
  </si>
  <si>
    <t>SCIOLI TURCO, INC. VS FRANCIS ETAL</t>
  </si>
  <si>
    <t>FRANCIS, JOHANNA M.L.</t>
  </si>
  <si>
    <t>FELLHEIMER, ALAN S; KARAPELOU, DIMITRI L; KIRSCH, JOSHUA L; ZWOLAK, JAMES J</t>
  </si>
  <si>
    <t>232 S 03RD STREET</t>
  </si>
  <si>
    <t>051062710</t>
  </si>
  <si>
    <t>MAILR - RETURNED MAIL RECEIVED: RETURNED MAIL ORDER DATED 08/31/18 AS UNDELIVERABLE AT THE ADDRESS ON FILE WITH THE COURT TO THE FOLLOWING PARTY: MORGAN STANLEY CREDIT CORPORATION.</t>
  </si>
  <si>
    <t>2015-10-07 16:43:00</t>
  </si>
  <si>
    <t>IS ALLEGHENY, LLC VS C.O.L.T COALITION ETAL</t>
  </si>
  <si>
    <t>COLT COALITION; POWER THROUGH THE WORD MINISTRY</t>
  </si>
  <si>
    <t>ROMINE, DAVID E</t>
  </si>
  <si>
    <t>1607-09 W ALLEGHENY AVENUE</t>
  </si>
  <si>
    <t>ZR236 - NOTICE GIVEN UNDER RULE 236: NOTICE GIVEN ON 02-SEP-2016 OF ORDER ENTERED/236 NOTICE GIVEN ENTERED ON 02-SEP-2016.</t>
  </si>
  <si>
    <t>2015-06-22 12:24:00</t>
  </si>
  <si>
    <t>SCIOLI TURCO, INC. VS GREAT PHILLY HOMES, LLC ETAL</t>
  </si>
  <si>
    <t>GREAT PHILLY HOMES LLC</t>
  </si>
  <si>
    <t>1403 S 18TH STREET</t>
  </si>
  <si>
    <t>ZR236 - NOTICE GIVEN UNDER RULE 236: NOTICE GIVEN ON 20-APR-2016 OF ORDER ENTERED/236 NOTICE GIVEN ENTERED ON 20-APR-2016.</t>
  </si>
  <si>
    <t>2024-01-08 15:38:00</t>
  </si>
  <si>
    <t>PHILADELPHIA COMMUNITY GROWTH, INC. VS VENESSA ETA</t>
  </si>
  <si>
    <t>VENESSA, EDWARDS</t>
  </si>
  <si>
    <t>2115 N 15TH STREET</t>
  </si>
  <si>
    <t>M0462 - LISTED-STAT CONF CONSERVATOR: 49-24011649 STATUS CONFERENCE SCHEDULED FOR 3/19/2024 AT 11:30 A.M. VIA ZOOM</t>
  </si>
  <si>
    <t>2017-01-19 13:28:00</t>
  </si>
  <si>
    <t xml:space="preserve">SCIOLI TURCO, INC. VS NEW COVENANT BAPTIST CHURCH </t>
  </si>
  <si>
    <t>NEW COVENANT BAPTIST CHURCH (MISSIONARY)</t>
  </si>
  <si>
    <t>DENENBERG, DAVID H; ULLMAN 751, JOYCE</t>
  </si>
  <si>
    <t>5250 WAYNE AVE.</t>
  </si>
  <si>
    <t>ZRDSC - PRAECIPE TO DISCONTINUE: ORDER TO DISCONTINUE WITH PREJUDICE FILED. (FILED ON BEHALF OF SCIOLI TURCO, INC.)</t>
  </si>
  <si>
    <t>2019-04-30 14:37:00</t>
  </si>
  <si>
    <t>MAYFAIR BUSINESS IMPROVEMENT VS QCSIF ONE LLC ETAL</t>
  </si>
  <si>
    <t>MAYFAIR BUSINESS IMPROVEMENT DISTRICT</t>
  </si>
  <si>
    <t>QCSIF ONE LLC; QCSI ONE LLC</t>
  </si>
  <si>
    <t>6401 FRANKFORD AVENUE</t>
  </si>
  <si>
    <t>LISPR - RELEASE OF LIS PENDENS FILED: PRAECIPE TO RELEASE LIS PENDENS AS TO PREMISES 6401 FRANKFORD, PHILADELPHIA FILED. (FILED ON BEHALF OF MAYFAIR BUSINESS IMPROVEMENT DISTRICT)</t>
  </si>
  <si>
    <t>2015-02-16 19:37:00</t>
  </si>
  <si>
    <t>SCIOLI TURCO, INC. VS WARNER ETAL</t>
  </si>
  <si>
    <t>WARNER, THEODORE K</t>
  </si>
  <si>
    <t>1525 MANTON STREET</t>
  </si>
  <si>
    <t>ORDRF - ORDER ENTERED - FINAL DISPOS: ORDER APPROVING SALE OF PROPERTY ISSUED 9/8/2015 BY JUDGE NEW.   ... JPE/CAO</t>
  </si>
  <si>
    <t>2019-09-17 12:28:00</t>
  </si>
  <si>
    <t>PA NEIGHBORHOOD DEVELOPMENT PARTNERSHIP VS EL ETAL</t>
  </si>
  <si>
    <t>EL, IMMANUEL; VIDAL, ROHAN</t>
  </si>
  <si>
    <t>1329 N MYRTLEWOOD STREET</t>
  </si>
  <si>
    <t>2012-03-05 19:35:00</t>
  </si>
  <si>
    <t>LIDIAK VS RANTAZZO ETAL</t>
  </si>
  <si>
    <t>LIDIAK, TIMOTHY</t>
  </si>
  <si>
    <t>RANTAZZO, RASARIO; RANTAZZO, VINCENZO</t>
  </si>
  <si>
    <t>1314 SIGEL STREET</t>
  </si>
  <si>
    <t>LISPR - RELEASE OF LIS PENDENS FILED: PRAECIPE TO RELEASE LIS PENDENS AS TO PREMISES 1314 SIGEL STREET, PHILADELPHIA FILED. (FILED ON BEHALF OF TIMOTHY LIDIAK)</t>
  </si>
  <si>
    <t>2023-06-02 14:08:00</t>
  </si>
  <si>
    <t>SCIOLI TURCO, INC. VS KENNEDY ETAL</t>
  </si>
  <si>
    <t>KENNEDY, ROBERT N</t>
  </si>
  <si>
    <t>3937 WARREN STREET</t>
  </si>
  <si>
    <t>M0442 - PET-APPT CONSERVATOR-ACT 135: 85-23060585 PET-APPT CONSERVATOR-ACT 135 (FILED ON BEHALF OF SCIOLI TURCO, INC..)</t>
  </si>
  <si>
    <t>2016-09-22 12:39:00</t>
  </si>
  <si>
    <t>IS3 1234, LLC VS CHANGES, LLC ETAL</t>
  </si>
  <si>
    <t>CHANGES LLC</t>
  </si>
  <si>
    <t>TAYLOR, JEROME A</t>
  </si>
  <si>
    <t>1214 N 29TH STREET</t>
  </si>
  <si>
    <t>ZR236 - NOTICE GIVEN UNDER RULE 236: NOTICE GIVEN ON 22-NOV-2016 OF ORDER ENTERED - FINAL DISPOS ENTERED ON 22-NOV-2016.</t>
  </si>
  <si>
    <t>2013-03-08 11:20:00</t>
  </si>
  <si>
    <t>RUSSELL, JENNI</t>
  </si>
  <si>
    <t>814 S 19TH</t>
  </si>
  <si>
    <t>PRATT - PRAECIPE TO SUPPL/ATTACH FILED: 91-13031191 PRAECIPE TO SUPPLEMENT/ATTACH RE: PET-APPT CONSERVATOR-ACT 135 FILED. (FILED ON BEHALF OF SCIOLI TURCO, INC.)</t>
  </si>
  <si>
    <t>2013-09-05 21:20:00</t>
  </si>
  <si>
    <t>SCIOLI TURCO, INC. VS QUATTRONE ETAL</t>
  </si>
  <si>
    <t>QUATTRONE, FRANK</t>
  </si>
  <si>
    <t>1316 CLARION STREET</t>
  </si>
  <si>
    <t>012508400</t>
  </si>
  <si>
    <t>LISPR - RELEASE OF LIS PENDENS FILED: PRAECIPE TO RELEASE LIS PENDENS AS TO PREMISES 1316 STREET, PHILADELPHIA FILED. (FILED ON BEHALF OF SCIOLI TURCO, INC.)</t>
  </si>
  <si>
    <t>2015-08-12 16:45:00</t>
  </si>
  <si>
    <t>IS ALLEGHENY, LLC  VS C.O.L.T. COALITION POWER  ET</t>
  </si>
  <si>
    <t>COLT COALITION POWER; THROUGH THE WORD MINISTRY</t>
  </si>
  <si>
    <t>ZR236 - NOTICE GIVEN UNDER RULE 236: NOTICE GIVEN ON 17-AUG-2015 OF ORDER ENTERED - FINAL DISPOS ENTERED ON 17-AUG-2015.</t>
  </si>
  <si>
    <t>2018-01-19 13:17:00</t>
  </si>
  <si>
    <t>BAILEY VS ESTATE OF ARNOLD ADAMSONS ETAL</t>
  </si>
  <si>
    <t>BAILEY, MATTHEW</t>
  </si>
  <si>
    <t>BURNS, DARA; KULDINER, MICHAEL</t>
  </si>
  <si>
    <t>ADAMSONS ESTATE OF, ARNOLD; ADAMSONS ESTATE OF, FRIDA</t>
  </si>
  <si>
    <t>237-239 E WISTER STREET</t>
  </si>
  <si>
    <t>ZRDSC - PRAECIPE TO DISCONTINUE: ORDER TO DISCONTINUE WITHOUT PREJUDICE FILED. (FILED ON BEHALF OF MATTHEW BAILEY)</t>
  </si>
  <si>
    <t>2023-08-03 16:57:00</t>
  </si>
  <si>
    <t>SCIOLI TURCO, INC. VS TILDEN ST LLC ETAL</t>
  </si>
  <si>
    <t>TILDEN ST LLC</t>
  </si>
  <si>
    <t>259 CINNAMINSON STREET</t>
  </si>
  <si>
    <t>LISPN - LIS PENDENS FILED: CERTIFICATION THAT THIS ACTION INVOLVES TITLE TO REAL ESTATE. PRAECIPE TO INDEX LIS PENDENS AS TO PREMISES 259 CINNAMINSON STREET, PHILADELPHIA.</t>
  </si>
  <si>
    <t>2016-10-14 13:44:00</t>
  </si>
  <si>
    <t>SCIOLI TURCO, INC.  ETAL VS CASE ETAL</t>
  </si>
  <si>
    <t>KROMER, JOHN; SCIOLI TURCO INC</t>
  </si>
  <si>
    <t>CASE, ANDREA M; CASE JR., ARTHUR M</t>
  </si>
  <si>
    <t>528 WESTVIEW STREET</t>
  </si>
  <si>
    <t>2021-03-01 10:10:00</t>
  </si>
  <si>
    <t>JACKSON, CHARISSE R; JACKSON, GREGORY L; JACKSON, THEODORE F</t>
  </si>
  <si>
    <t>BOMSTEIN, MICHAEL S</t>
  </si>
  <si>
    <t>848 N 40TH STREET</t>
  </si>
  <si>
    <t>062230800</t>
  </si>
  <si>
    <t>2021-05-12 14:41:00</t>
  </si>
  <si>
    <t>ORIGINAL APOSTOLIC FAITH CHURCH OF LORD JESUS CHRIST INC</t>
  </si>
  <si>
    <t>RABINOVICH, JASON L; REUTER, LEONARD F</t>
  </si>
  <si>
    <t>ZR236 - NOTICE GIVEN UNDER RULE 236: NOTICE GIVEN ON 06-JUL-2021 OF ORDER ENTERED - FINAL DISPOS ENTERED ON 03-JUL-2021.</t>
  </si>
  <si>
    <t>2019-07-12 16:08:00</t>
  </si>
  <si>
    <t>GLOBAL GIVINGS DEVELOPMENT CORPORATION  VS PRESBER</t>
  </si>
  <si>
    <t>PRESBERY, DAWN</t>
  </si>
  <si>
    <t>FROEHLICH, MICHAEL R</t>
  </si>
  <si>
    <t>2312 REED STREET</t>
  </si>
  <si>
    <t>ZR236 - NOTICE GIVEN UNDER RULE 236: NOTICE GIVEN ON 24-SEP-2021 OF ORDER ENTERED/236 NOTICE GIVEN ENTERED ON 24-SEP-2021.</t>
  </si>
  <si>
    <t>2023-03-17 15:27:00</t>
  </si>
  <si>
    <t>1537 TULPEHOCKEN, LLC VS WILLIAMS ETAL</t>
  </si>
  <si>
    <t>ALL UNKNOWN HEIRS; HALAL BUSINESS VENTURES LLC C/O LEGALINC CORPORATE SERVICES; WILLIAMS, EGLAN; WILLIAMS, EMILY; WILLIAMS, JOHN H; WILLIAMS, RITA</t>
  </si>
  <si>
    <t>KEARNEY, CANDICE</t>
  </si>
  <si>
    <t>1842 N 23RD STREET</t>
  </si>
  <si>
    <t>ZR236 - NOTICE GIVEN UNDER RULE 236: NOTICE GIVEN ON 18-JUL-2023 OF ORDER ENTERED/236 NOTICE GIVEN ENTERED ON 17-JUL-2023.</t>
  </si>
  <si>
    <t>2015-08-17 10:19:00</t>
  </si>
  <si>
    <t>CHAMPAGNE VS THE THOMAS COLE GROUP, INC. ETAL</t>
  </si>
  <si>
    <t>THOMAS COLE GROUP INC</t>
  </si>
  <si>
    <t>CHIESA, KRISTOFER B; LUCKMAN, BRUCE</t>
  </si>
  <si>
    <t>863 N UBER STREET</t>
  </si>
  <si>
    <t>CRTRR - CERTIFIED RECORD RECEIVED: RECORD RETURNED FROM COMMOWEALTH COURT AT 2300 CD 2015.</t>
  </si>
  <si>
    <t>2015-06-26 12:03:00</t>
  </si>
  <si>
    <t>HARRINGTON, DANIEL Q; LONG, SHAWN M; MARTIN, MARY-KATE</t>
  </si>
  <si>
    <t>1430 S 15TH STREET</t>
  </si>
  <si>
    <t>M0279 - MOTION/PETITION/STIP WITHDRAWN: 30-15063530 PRAECIPE TO WITHDRAW PET-APPT CONSERVATOR-ACT 135 FILED. (FILED ON BEHALF OF SCIOLI TURCO, INC.)</t>
  </si>
  <si>
    <t>2016-03-07 10:57:00</t>
  </si>
  <si>
    <t>MORITZ VS RICHARDS ETAL</t>
  </si>
  <si>
    <t>RICHARDS, CELESTE T</t>
  </si>
  <si>
    <t>BARENBAUM, EVAN</t>
  </si>
  <si>
    <t>5152 CEDAR AVE</t>
  </si>
  <si>
    <t>2017-07-12 10:58:00</t>
  </si>
  <si>
    <t>CASABLANCA INVESTORS LLC VS HELLER ETAL</t>
  </si>
  <si>
    <t>MTASN - MOTION ASSIGNED: 30-17120430 MOTION FOR ALTERNATIVE SERVICE ASSIGNED TO JUDGE: JUDGE, SUPERVISING . ON DATE: DECEMBER 05, 2017</t>
  </si>
  <si>
    <t>2023-11-21 13:47:00</t>
  </si>
  <si>
    <t>SCIOLI TURCO, INC. VS COOKE ETAL</t>
  </si>
  <si>
    <t>COOKE, EDWARD M</t>
  </si>
  <si>
    <t>12613 CHILTON ROAD</t>
  </si>
  <si>
    <t>MTASN - MOTION ASSIGNED: 58-23114858 PET-APPT CONSERVATOR-ACT 135 ASSIGNED TO JUDGE: JUDGE, CONSERVATORSHIP . ON DATE: NOVEMBER 29, 2023</t>
  </si>
  <si>
    <t>2023-11-16 16:14:00</t>
  </si>
  <si>
    <t>JAMAR VS TRS OF THE ESTATE OF ETAL</t>
  </si>
  <si>
    <t>TRS OF THE ESTATE OF</t>
  </si>
  <si>
    <t>23-27 S 11TH</t>
  </si>
  <si>
    <t xml:space="preserve">	88261970</t>
  </si>
  <si>
    <t>MTASN - MOTION ASSIGNED: 84-23114084 PET-APPT CONSERVATOR-ACT 135 ASSIGNED TO JUDGE: JUDGE, CONSERVATORSHIP . ON DATE: NOVEMBER 20, 2023</t>
  </si>
  <si>
    <t>2016-01-14 13:32:00</t>
  </si>
  <si>
    <t>JPA HOLDINGS, LLC VS MORGAN ETAL</t>
  </si>
  <si>
    <t>BOMBA ESTATE OF, JOHN L; BOMBA, THELMA; MORGAN, CONSTANCE</t>
  </si>
  <si>
    <t>1743 ANNIN</t>
  </si>
  <si>
    <t>LISPR - RELEASE OF LIS PENDENS FILED: PRAECIPE TO RELEASE LIS PENDENS AS TO PREMISES 1743 ANNIN STREET, PHILADELPHIA FILED. (FILED ON BEHALF OF JPA HOLDINGS, LLC)</t>
  </si>
  <si>
    <t>2023-12-22 16:10:00</t>
  </si>
  <si>
    <t>ADAMS-SMELTER ADMINISTRATRIX OF THE ESTATE OF EDNA S ADAMS, BARBARA</t>
  </si>
  <si>
    <t>6061 WEBSTER STREET</t>
  </si>
  <si>
    <t>033021100</t>
  </si>
  <si>
    <t>LISPN - LIS PENDENS FILED: CERTIFICATION THAT THIS ACTION INVOLVES TITLE TO REAL ESTATE. PRAECIPE TO INDEX LIS PENDENS AS TO PREMISES 6061 WEBSTER STREET, PHILADELPHIA.</t>
  </si>
  <si>
    <t>2016-01-28 16:06:00</t>
  </si>
  <si>
    <t>HAMPTON VS CARPENTER</t>
  </si>
  <si>
    <t>HAMPTON, TERRELL R</t>
  </si>
  <si>
    <t>CARPENTER, MARY</t>
  </si>
  <si>
    <t>5904 OSAGE AVE</t>
  </si>
  <si>
    <t>032062300</t>
  </si>
  <si>
    <t>LISPR - RELEASE OF LIS PENDENS FILED: PRAECIPE TO RELEASE LIS PENDENS AS TO PREMISES 5904 OSAGE AVE PHILADELPHIA PA 19139 PER COURT ORDER DATED 02/22/2016</t>
  </si>
  <si>
    <t>2016-10-13 10:01:00</t>
  </si>
  <si>
    <t>PHILADELPHIA COMMUNITY DEVELOPMENT COALITION VS LA</t>
  </si>
  <si>
    <t>1932 GERRITT STREET</t>
  </si>
  <si>
    <t>2016-01-27 10:35:00</t>
  </si>
  <si>
    <t xml:space="preserve">CHAMPAGNE ETAL VS DIETRA SMITH, ADMINISTRATRIX OF </t>
  </si>
  <si>
    <t>DIETRA SMITH, ADMINISTRATRIX OF THE ESTATE OF REDELLA CAVE; DIETRA SMITH, AS TRUSTEE U/W OF REDELLA CAVE FBO DESCENDANTS</t>
  </si>
  <si>
    <t>PRSDE - PRAEC/SETTLE DISCONTINUE END: SETTLED VIA S D &amp; E PRAECIPE FILED. (FILED ON BEHALF OF PHILADELPHIA COMMUNITY DEVELOPEMENT COALITION AND DAVID CHAMPAGNE)</t>
  </si>
  <si>
    <t>2023-05-23 13:21:00</t>
  </si>
  <si>
    <t>SCIOLI TURCO, INC. VS STANLEY ETAL</t>
  </si>
  <si>
    <t>ANY UNKNOWN HEIRS; STANLEY, ANN; STANLEY, FRANK</t>
  </si>
  <si>
    <t>2912 S SMEDLEY STREET</t>
  </si>
  <si>
    <t>LISPN - LIS PENDENS FILED: CERTIFICATION THAT THIS ACTION INVOLVES TITLE TO REAL ESTATE. PRAECIPE TO INDEX LIS PENDENS AS TO PREMISES 2912 S SMEDLEY STREET, PHILADELPHIA.</t>
  </si>
  <si>
    <t>2017-02-08 22:18:00</t>
  </si>
  <si>
    <t>PHILADELPHIA COMMUNITY DEVELOPMENT COALITION VS BA</t>
  </si>
  <si>
    <t>BASHIR, MUSTAFA</t>
  </si>
  <si>
    <t>2052 BLAIR STREET</t>
  </si>
  <si>
    <t>2020-03-12 09:43:00</t>
  </si>
  <si>
    <t>UKNOWN HEIRS OF MARIA WOODFOLK</t>
  </si>
  <si>
    <t>37 WIOTA STREET</t>
  </si>
  <si>
    <t>061170200</t>
  </si>
  <si>
    <t>MAILR - RETURNED MAIL RECEIVED: COPY OF ORDER ON UNKNOWN HEIRS OF MARIA WOODFOLK, RETURNED.</t>
  </si>
  <si>
    <t>2015-02-26 11:23:00</t>
  </si>
  <si>
    <t>SCIOLI TURCO, INC VS DOAN ETAL</t>
  </si>
  <si>
    <t>778 S 18TH STREET</t>
  </si>
  <si>
    <t>LISPR - RELEASE OF LIS PENDENS FILED: PRAECIPE TO RELEASE LIS PENDENS AS TO PREMISES 778 S 18TH STREET, PHILADELPHIA FILED. (FILED ON BEHALF OF SCIOLI TURCO, INC)</t>
  </si>
  <si>
    <t>2017-10-04 19:44:00</t>
  </si>
  <si>
    <t>BEST ESQ, SCOTT J; KWI BUILDERS INC; UNKNOWN HEIRS OF VIRGIE RUFF</t>
  </si>
  <si>
    <t>1302 N 22ND STREET</t>
  </si>
  <si>
    <t>ZR236 - NOTICE GIVEN UNDER RULE 236: NOTICE GIVEN ON 17-SEP-2018 OF ORDER ENTERED - FINAL DISPOS ENTERED ON 17-SEP-2018.</t>
  </si>
  <si>
    <t>2017-11-15 11:47:00</t>
  </si>
  <si>
    <t>GLOBAL HOLDINGS GREATER PHILADELPHIA LLC VS WILSON</t>
  </si>
  <si>
    <t>GLOBAL HOLDINGS GREATER PHILADELPHIA LLC</t>
  </si>
  <si>
    <t>WILSON, PARRISH</t>
  </si>
  <si>
    <t>2235 FERNON</t>
  </si>
  <si>
    <t>ZR236 - NOTICE GIVEN UNDER RULE 236: NOTICE GIVEN ON 26-FEB-2018 OF SETTLED PRIOR TO ASSGN TRL JUD ENTERED ON 23-FEB-2018.</t>
  </si>
  <si>
    <t>2016-09-01 10:24:00</t>
  </si>
  <si>
    <t>HELLER, LAMONT M</t>
  </si>
  <si>
    <t>LISPR - RELEASE OF LIS PENDENS FILED: PRAECIPE TO RELEASE LIS PENDENS AS TO PREMISES 3616 HAVERFORD, PHILADELPHIA FILED. (FILED ON BEHALF OF CASABLANCA INVESTORS LLC)</t>
  </si>
  <si>
    <t>2023-09-22 14:10:00</t>
  </si>
  <si>
    <t>SCIOLI TURCO, INC. VS LITES ETAL</t>
  </si>
  <si>
    <t>ALL UNKNOWN HEIRS; LITES, ANTHONY; LITES, MARY M; LITES, WILBERT D; LITES, WILBERT DANIEL</t>
  </si>
  <si>
    <t>5246 CEDAR AVENUE</t>
  </si>
  <si>
    <t>LISPN - LIS PENDENS FILED: CERTIFICATION THAT THIS ACTION INVOLVES TITLE TO REAL ESTATE. PRAECIPE TO INDEX LIS PENDENS AS TO PREMISES 5246 CEDAR AVENUE, PHILADELPHIA.</t>
  </si>
  <si>
    <t>2023-05-05 16:06:00</t>
  </si>
  <si>
    <t>GLOBAL GIVINGS DEVELOPMENT CORPORATION VS LAURA CR</t>
  </si>
  <si>
    <t>LAURA CRUMMER REGINALD BEVERLY VERNICE SMITH REV THROWER</t>
  </si>
  <si>
    <t>5862 LARCHWOOD AVENUE</t>
  </si>
  <si>
    <t>032094905</t>
  </si>
  <si>
    <t>LISPN - LIS PENDENS FILED: CERTIFICATION THAT THIS ACTION INVOLVES TITLE TO REAL ESTATE. PRAECIPE TO INDEX LIS PENDENS AS TO PREMISES 5862 LARCHWOOD AVENUE, PHILADELPHIA.</t>
  </si>
  <si>
    <t>2013-11-05 11:42:00</t>
  </si>
  <si>
    <t>BIANTORO, WIKI; ZEINOUN, ALFRED E</t>
  </si>
  <si>
    <t>MARTIN, MARY-KATE; QUINN JD, ANTHONY B</t>
  </si>
  <si>
    <t>2036 BOUVIER</t>
  </si>
  <si>
    <t>2023-11-28 15:52:00</t>
  </si>
  <si>
    <t>WILLIAMS VS DINNIE ETAL</t>
  </si>
  <si>
    <t>DINNIE, MITCHELL</t>
  </si>
  <si>
    <t>4204 W THOMPSON STREET</t>
  </si>
  <si>
    <t>062188800</t>
  </si>
  <si>
    <t>MTASN - MOTION ASSIGNED: 30-23115730 PET-APPT CONSERVATOR-ACT 135 ASSIGNED TO JUDGE: JUDGE, CONSERVATORSHIP . ON DATE: NOVEMBER 30, 2023</t>
  </si>
  <si>
    <t>2024-01-19 18:14:00</t>
  </si>
  <si>
    <t>1941 N 33RD STREET</t>
  </si>
  <si>
    <t>LISPN - LIS PENDENS FILED: CERTIFICATION THAT THIS ACTION INVOLVES TITLE TO REAL ESTATE. PRAECIPE TO INDEX LIS PENDENS AS TO PREMISES 1941 N 33RD STREET, PHILADELPHIA.</t>
  </si>
  <si>
    <t>2017-07-14 16:37:00</t>
  </si>
  <si>
    <t>ZUARES, NISSIM</t>
  </si>
  <si>
    <t>ZRDSC - PRAECIPE TO DISCONTINUE: ORDER TO DISCONTINUE WITHOUT PREJUDICE FILED. (FILED ON BEHALF OF PHILADELPHIA COMMUNITY DEVELOPMENT COALITION, INC.)</t>
  </si>
  <si>
    <t>2017-03-23 16:33:00</t>
  </si>
  <si>
    <t>GLOBAL HOLDINGS GREATER PHILADELPHIA LLC VS TOOMER</t>
  </si>
  <si>
    <t>JOHNSON ADMINISTRATOR OF THE ESTATE OF FRANK A TOOMER, MASAI; TOOMER, MARY F</t>
  </si>
  <si>
    <t>ZRDSC - PRAECIPE TO DISCONTINUE: ORDER TO DISCONTINUE WITHOUT PREJUDICE FILED. (FILED ON BEHALF OF GLOBAL HOLDINGS GREATER PHILADELPHIA LLC)</t>
  </si>
  <si>
    <t>2016-02-10 10:57:00</t>
  </si>
  <si>
    <t>G &amp; G INVESTORS, LLC VS RUSSELL ETAL</t>
  </si>
  <si>
    <t>RUSSELL, JOHN B; RUSSELL, MARY J</t>
  </si>
  <si>
    <t>2228-30 SEARS STREET</t>
  </si>
  <si>
    <t>AFDVT - AFFIDAVIT OF SERVICE FILED: AFFIDAVIT OF SERVICE OF PLAINTIFF'S COMPLAINT UPON BY CERTIFIED MAIL ON 01/27/2017 FILED. (FILED ON BEHALF OF G &amp; G INVESTORS, LLC)</t>
  </si>
  <si>
    <t>2015-03-11 14:35:00</t>
  </si>
  <si>
    <t>GLY INVESTMENTS, LLC VS ANSARI ETAL</t>
  </si>
  <si>
    <t>ANSARI, MAHMUD</t>
  </si>
  <si>
    <t>3927 BRANDYWINE STREET</t>
  </si>
  <si>
    <t>ZR236 - NOTICE GIVEN UNDER RULE 236: NOTICE GIVEN ON 08-JUN-2015 OF ORDER ENTERED/236 NOTICE GIVEN ENTERED ON 05-JUN-2015.</t>
  </si>
  <si>
    <t>2012-03-12 16:18:00</t>
  </si>
  <si>
    <t>C&amp;L INVESTMENTS, LLC VS CHRISTIAM ETAL</t>
  </si>
  <si>
    <t>C&amp;L INVESTMENTS LLC</t>
  </si>
  <si>
    <t>CHRISTIAN, CLARENCE; DOBBINS, LAURETA</t>
  </si>
  <si>
    <t>6239 WASHINGTON AVENUE</t>
  </si>
  <si>
    <t>033112700</t>
  </si>
  <si>
    <t>DISPO - DISPOSED -  CASE CLOSED: CASE CLOSED PURSUANT TO THE MARCH 15, 2013 ORDER DENYING THE PETITION FOR THE APPOINT OF A CONSERVATOR.</t>
  </si>
  <si>
    <t>2017-03-23 15:52:00</t>
  </si>
  <si>
    <t>GLOBAL HOLDINGS GREATER PHILADELPHIA LLC VS PONTON</t>
  </si>
  <si>
    <t>BOWEN, SARAH K; PONTON, MARLAND K</t>
  </si>
  <si>
    <t>HILL, WILLIAM T</t>
  </si>
  <si>
    <t>1512 S 22ND STREET</t>
  </si>
  <si>
    <t>LISPR - RELEASE OF LIS PENDENS FILED: PRAECIPE TO RELEASE LIS PENDENS AS TO PREMISES 1512 S 22ND STREET, PHILADELPHIA FILED. (FILED ON BEHALF OF GLOBAL HOLDINGS GREATER PHILADELPHIA LLC)</t>
  </si>
  <si>
    <t>2015-03-11 11:08:00</t>
  </si>
  <si>
    <t>HELPING HANDS PHILADELPHIA VS PEREZ ETAL</t>
  </si>
  <si>
    <t>HELPING HANDS PHILADELPHIA</t>
  </si>
  <si>
    <t>PEREZ, JOHN R</t>
  </si>
  <si>
    <t>176 MASTER STREET</t>
  </si>
  <si>
    <t>ENAPP - ENTRY OF APPEARANCE: ENTRY OF APPEARANCE OF YEKATERINA KOELSCH FILED. (FILED ON BEHALF OF JAMES ZWOLAK AND CITY OF PHILADELPHIA)</t>
  </si>
  <si>
    <t>2014-02-27 16:14:00</t>
  </si>
  <si>
    <t>HOPE VS HATTEN ETAL</t>
  </si>
  <si>
    <t>HOPE, JENNIFER</t>
  </si>
  <si>
    <t>HATTEN, ADORA; HATTEN, AVALON; HATTEN, GERALD C</t>
  </si>
  <si>
    <t>STANWOOD, JONATHAN H</t>
  </si>
  <si>
    <t>2027 FITZWATER ST.</t>
  </si>
  <si>
    <t>ZR236 - NOTICE GIVEN UNDER RULE 236: NOTICE GIVEN ON 24-JUN-2014 OF ORDER ENTERED - FINAL DISPOS ENTERED ON 19-JUN-2014.</t>
  </si>
  <si>
    <t>2013-01-06 19:35:00</t>
  </si>
  <si>
    <t>SCIOLI TURCO, INC. VS MCNAIR ETAL</t>
  </si>
  <si>
    <t>BOLDEN, STEPHEN R; MARTIN, MARY-KATE; WHITMAN, ALFRED D</t>
  </si>
  <si>
    <t>1907 CHRISTIAN STREET</t>
  </si>
  <si>
    <t>AFDVT - AFFIDAVIT OF SERVICE FILED: AFFIDAVIT OF SERVICE OF PETITION AND NOTICE UPON SHERFON MCNAIR BY PERSONAL SERVICE ON 04/19/2016 FILED.</t>
  </si>
  <si>
    <t>2020-09-14 08:23:00</t>
  </si>
  <si>
    <t>GLOBAL HOLDINGS OF GREATER PHILADELPHIA VS MT. SHA</t>
  </si>
  <si>
    <t>GLOBAL HOLDINGS OF GREATER PHILADELPHIA</t>
  </si>
  <si>
    <t>MT SHARON BAPTIST CHURCH OF PHILADELPHIA</t>
  </si>
  <si>
    <t>CONSOLE ESQ, JOSEPH J; LASSITER, DUANE L</t>
  </si>
  <si>
    <t>1609 W GIRARD AVENUE</t>
  </si>
  <si>
    <t>MMUPD - MOTION ASSIGNMENT UPDATED: 83-20091283 REASSIGNED TO JUDGE JUDGE, CONSERVATORSHIP ON 22-FEB-22</t>
  </si>
  <si>
    <t>2016-04-05 18:09:00</t>
  </si>
  <si>
    <t>SERRANO VS PRATER ETAL</t>
  </si>
  <si>
    <t>PRATER, CHARMAINE; PRATER-MCCOLLUM, CHANELL; PRATER-MCCOULLUM, CHANELL; PRATER-MCCOULLUM, CHARMAINE; WOODS, RAZIZ</t>
  </si>
  <si>
    <t>3037 BALTZ ST</t>
  </si>
  <si>
    <t>M0593 - REC RETURNED APPELLATE COURT: REMAND/REMITTAL DATE: 02/24/23</t>
  </si>
  <si>
    <t>2017-12-18 10:30:00</t>
  </si>
  <si>
    <t>BAILEY VS ADAMSONS ETAL</t>
  </si>
  <si>
    <t>BURNS, DARA</t>
  </si>
  <si>
    <t>ADAMSONS, ARNOLD; ADAMSONS, FRIDA</t>
  </si>
  <si>
    <t>M0378 - CORRECTION TO JUDGMENT INDEX: CORRECTION TO LOCALITY INDEX: LIS PENDENS LIFTED PURSUANT TO COURT ORDER DATED 12/21/2017. INDEX UPDATED ON 12/28/2017</t>
  </si>
  <si>
    <t>2018-12-07 14:14:00</t>
  </si>
  <si>
    <t>FASSETT TR, BRUCE</t>
  </si>
  <si>
    <t>JOHNSON, CLINTON L; TOPPIN, SHERMAN C</t>
  </si>
  <si>
    <t>5105 OVERBROOK AVENUE</t>
  </si>
  <si>
    <t>ZR236 - NOTICE GIVEN UNDER RULE 236: NOTICE GIVEN ON 02-AUG-2022 OF APPEAL INVENTORY RECORD SENT ENTERED ON 02-AUG-2022.</t>
  </si>
  <si>
    <t>2023-06-06 15:03:00</t>
  </si>
  <si>
    <t>SCIOLI TURCO, INC. VS PASKEY ETAL</t>
  </si>
  <si>
    <t>PASKEY, FRANCES M; PASKEY, JOHN J</t>
  </si>
  <si>
    <t>12008 ELMORE ROAD</t>
  </si>
  <si>
    <t>LISPN - LIS PENDENS FILED: CERTIFICATION THAT THIS ACTION INVOLVES TITLE TO REAL ESTATE. PRAECIPE TO INDEX LIS PENDENS AS TO PREMISES 12008 ELMORE ROAD, PHILADELPHIA.</t>
  </si>
  <si>
    <t>2013-03-14 21:00:00</t>
  </si>
  <si>
    <t>MATHEW VS UNITY HOUSING AND DEVELOPMENT CORPORATIO</t>
  </si>
  <si>
    <t>UNITY HOUSING AND DEVELOPMENT CORPORATION</t>
  </si>
  <si>
    <t>1510 BROWN STREET</t>
  </si>
  <si>
    <t>PRSDE - PRAEC/SETTLE DISCONTINUE END: SETTLED VIA S D &amp; E PRAECIPE FILED. (FILED ON BEHALF OF JOSHUA E MATHEW)</t>
  </si>
  <si>
    <t>2019-08-23 10:53:00</t>
  </si>
  <si>
    <t>UNKNOWN HEIRS OF ELEANOR DOUGLAS</t>
  </si>
  <si>
    <t>FOXWORTH JR, RODERICK L</t>
  </si>
  <si>
    <t>2016-01-08 15:42:00</t>
  </si>
  <si>
    <t>SCIOLI TURCO, INC. VS CHINATOWN BUILDING AND EDUCA</t>
  </si>
  <si>
    <t>CHINATOWN BUILDING AND EDUCATIONAL FOUNDATION</t>
  </si>
  <si>
    <t>COHEN, FAYE R; FINGERHUT, PAMELA S; WATSON, DEANNA E</t>
  </si>
  <si>
    <t>125 N 10TH STREET</t>
  </si>
  <si>
    <t>ENAPP - ENTRY OF APPEARANCE: ENTRY OF APPEARANCE OF DEANNA E WATSON FILED. (FILED ON BEHALF OF SCIOLI TURCO, INC.)</t>
  </si>
  <si>
    <t>2018-08-02 11:05:00</t>
  </si>
  <si>
    <t>GLOBAL GIVINGS DEVELOPMENT CORPORATION VS CARING H</t>
  </si>
  <si>
    <t>CARING HANDS 4 YOU INC</t>
  </si>
  <si>
    <t>1315-17 S 52ND STREET</t>
  </si>
  <si>
    <t>LISPR - RELEASE OF LIS PENDENS FILED: PRAECIPE TO RELEASE LIS PENDENS AS TO PREMISES 1315-1317 S 52ND STREET, PHILADELPHIA FILED. (FILED ON BEHALF OF GLOBAL GIVINGS DEVELOPMENT CORPORATION)</t>
  </si>
  <si>
    <t>2016-03-23 14:53:00</t>
  </si>
  <si>
    <t>SABO VS PHILLIPS-SIMMONS REAL ESTATE</t>
  </si>
  <si>
    <t>PHILLIPS-SIMMONS REAL ESTATE</t>
  </si>
  <si>
    <t>2016-03-21 13:40:00</t>
  </si>
  <si>
    <t>IS3 1234, LLC VS LANE</t>
  </si>
  <si>
    <t>LANE JR, LONNIE</t>
  </si>
  <si>
    <t>FARRELL, J MICHAEL</t>
  </si>
  <si>
    <t>2906 W FLORA STREET</t>
  </si>
  <si>
    <t>ZR236 - NOTICE GIVEN UNDER RULE 236: NOTICE GIVEN ON 17-SEP-2018 OF ORDER ENTERED - FINAL DISPOS ENTERED ON 14-SEP-2018.</t>
  </si>
  <si>
    <t>2022-01-27 10:32:00</t>
  </si>
  <si>
    <t xml:space="preserve">1537 TULPEHOCKEN, LLC VS THE WHITTAKER GROUP, LLC </t>
  </si>
  <si>
    <t>WHITTAKER GROUP LLC</t>
  </si>
  <si>
    <t>2613 W MONTGOMERY AVENUE</t>
  </si>
  <si>
    <t>MTASN - MOTION ASSIGNED: 42-23052342 MISCELLANEOUS MOTION/PETITION ASSIGNED TO JUDGE: JUDGE, CONSERVATORSHIP . ON DATE: JUNE 02, 2023</t>
  </si>
  <si>
    <t>2024-01-07 18:04:00</t>
  </si>
  <si>
    <t>CHAMPAGNE VS CALCUTTA HOUSE ETAL</t>
  </si>
  <si>
    <t>CALCUTTA HOUSE</t>
  </si>
  <si>
    <t>1601 W GIRARD AVENUE</t>
  </si>
  <si>
    <t>AFDVT - AFFIDAVIT OF SERVICE FILED: AFFIDAVIT OF SERVICE OF NOTICE OF FILING AND PETITION FOR APPOINTMENT OF A CONSERVATOR UPON CALCUTTA HOUSE BY POSTING OF PREMISES ON 01/13/2024 FILED.</t>
  </si>
  <si>
    <t>2023-09-17 14:57:00</t>
  </si>
  <si>
    <t>GOLDEN VIEW INTERNATIONAL 2015 LLC</t>
  </si>
  <si>
    <t>2101 W ONTARIO STREET</t>
  </si>
  <si>
    <t>LISPN - LIS PENDENS FILED: CERTIFICATION THAT THIS ACTION INVOLVES TITLE TO REAL ESTATE. PRAECIPE TO INDEX LIS PENDENS AS TO PREMISES 2101 W ONTARIO STREET, PHILADELPHIA.</t>
  </si>
  <si>
    <t>2022-12-01 11:56:00</t>
  </si>
  <si>
    <t>PHILADELPHIA COMMUNITY GROWTH, INC VS LUTZ ETAL</t>
  </si>
  <si>
    <t>LUTZ, GEORGE; LUTZ, GEORGE F; LUTZ, KATHLEEN; LUTZ, KATHLEEN R</t>
  </si>
  <si>
    <t>PALMER, ALEXANDER</t>
  </si>
  <si>
    <t>1409 S 29TH STREET</t>
  </si>
  <si>
    <t>M0462 - LISTED-STAT CONF CONSERVATOR: 25-22120125 STATUS HEARING SCHEDULED FOR 7/18/2023 AT 9:30 A.M. VIA ZOOM.</t>
  </si>
  <si>
    <t>2021-03-16 17:41:00</t>
  </si>
  <si>
    <t>UNKNOWN HEIRS OF ESTHER DUNSTON</t>
  </si>
  <si>
    <t>1228 S 26TH STREET</t>
  </si>
  <si>
    <t>ORDMN - COURT ORDERED PAYOUT OF ESCROW: CHECK # 9730 IN THE AMOUNT OF $14,000.00 WAS RELEASED TO LEGIS GROUP LLC PER ORDER DATED 07/25/2022, BUTCHART, J.</t>
  </si>
  <si>
    <t>2023-06-26 11:11:00</t>
  </si>
  <si>
    <t>SCIOLI TURCO, INC. VS JZ PROPERTIES LLC ETAL</t>
  </si>
  <si>
    <t>CITY OF PHILADELPHIA C/O LAW DEPARTMENT; JZ PROPERTIES LLC</t>
  </si>
  <si>
    <t>437 MEMPHIS STREET</t>
  </si>
  <si>
    <t>LISPN - LIS PENDENS FILED: CERTIFICATION THAT THIS ACTION INVOLVES TITLE TO REAL ESTATE. PRAECIPE TO INDEX LIS PENDENS AS TO PREMISES 437 MEMPHIS STREET, PHILADELPHIA.</t>
  </si>
  <si>
    <t>2020-02-11 17:09:00</t>
  </si>
  <si>
    <t>A L INVESTORS LLC</t>
  </si>
  <si>
    <t>KALIKHMAN, LAWRENCE</t>
  </si>
  <si>
    <t>15 E PLEASANT STREET</t>
  </si>
  <si>
    <t>2016-05-25 12:33:00</t>
  </si>
  <si>
    <t>RAZADOSI PROPERTIES LLC VS NIXON ETAL</t>
  </si>
  <si>
    <t>NIXON, APRIL</t>
  </si>
  <si>
    <t>1323 N 19TH ST</t>
  </si>
  <si>
    <t>M0378 - CORRECTION TO JUDGMENT INDEX: CORRECTION TO LOCALITY INDEX: LIS PENDENS VACATED PURSUANT TO COURT ORDER DATED 12/21/2016. REMOVED FROM THE INDEX ON 12/29/2016</t>
  </si>
  <si>
    <t>2018-03-27 12:56:00</t>
  </si>
  <si>
    <t>PA NEIGHBORHOOD DEVELOPMENT PARTNERSHIP VS 1221 NO</t>
  </si>
  <si>
    <t>1221 N HOLLYWOOD LLC; PHILADELPHIA HOUSING AUTHORITY</t>
  </si>
  <si>
    <t>AHUMADA, LORENA E; KENIS, ANDREW J</t>
  </si>
  <si>
    <t>1221 N HOLLYWOOD STREET</t>
  </si>
  <si>
    <t>M0378 - CORRECTION TO JUDGMENT INDEX: CORRECTION TO LOCALITY INDEX: LIS PENDENS VACATED PURSUANT TO COURT ORDER DATED 06/28/2018. INDEX UPDATED ON 07/02/2018</t>
  </si>
  <si>
    <t>2019-08-08 12:26:00</t>
  </si>
  <si>
    <t>SCIOLI TURCO, INC. ETAL VS GARRETT ETAL</t>
  </si>
  <si>
    <t>KAUFMAN, ROBERT; SCIOLI TURCO INC</t>
  </si>
  <si>
    <t>GARRETT, CHYRAN</t>
  </si>
  <si>
    <t>LUCAS, AUSTIN M</t>
  </si>
  <si>
    <t>7030 CLEARVIEW STREET</t>
  </si>
  <si>
    <t>PRSDE - PRAEC/SETTLE DISCONTINUE END: SETTLED VIA S D &amp; E PRAECIPE FILED. (FILED ON BEHALF OF ROBERT KAUFMAN AND SCIOLI TURCO INC)</t>
  </si>
  <si>
    <t>2017-08-17 17:28:00</t>
  </si>
  <si>
    <t>SCIOLI TURCO, INC. VS WEBSTER ETAL</t>
  </si>
  <si>
    <t>CALEB, MAE H; WEBSTER, WILLIAM W</t>
  </si>
  <si>
    <t>HENIGAN, PATRICK T</t>
  </si>
  <si>
    <t>3415 HAMILTON</t>
  </si>
  <si>
    <t>ZR236 - NOTICE GIVEN UNDER RULE 236: NOTICE GIVEN ON 06-AUG-2020 OF ORDER ENTERED - FINAL DISPOS ENTERED ON 05-AUG-2020.</t>
  </si>
  <si>
    <t>2023-12-08 15:03:00</t>
  </si>
  <si>
    <t>2951 KENSINGTON AVENUE</t>
  </si>
  <si>
    <t>LISPN - LIS PENDENS FILED: CERTIFICATION THAT THIS ACTION INVOLVES TITLE TO REAL ESTATE. PRAECIPE TO INDEX LIS PENDENS AS TO PREMISES 2951 KENSINGTON AVENUE, PHILADELPHIA.</t>
  </si>
  <si>
    <t>2022-05-02 14:40:00</t>
  </si>
  <si>
    <t>BONETA, CHRISTINE; BONETA, DIANA; BONETA, ROBERT; BONETA, VICTOR; UNKNOWN HEIRS OF ANGELES BONETA</t>
  </si>
  <si>
    <t>1619 N 03RD STREET</t>
  </si>
  <si>
    <t>MAILR - RETURNED MAIL RECEIVED: RETURN MAIL ORDER DATED 09-JAN-2024 AS UNDELIVERABLE AT THE ADDRESS ON FILE WITH THE COURT TO THE FOLLOWING PARTY: ALLIANCE FUNDING A DIVISION OF SUPERIOR FEDERAL BANK FSB</t>
  </si>
  <si>
    <t>2014-03-27 22:39:00</t>
  </si>
  <si>
    <t>PHILADELPHIA HOUSING IMPROVEMENT PROJECT NONPROFIT</t>
  </si>
  <si>
    <t>CALEB, MAE H</t>
  </si>
  <si>
    <t>HENIGAN, PATRICK T; MARTIN, MARY-KATE</t>
  </si>
  <si>
    <t>3415 HAMILTON STREET</t>
  </si>
  <si>
    <t>ZR236 - NOTICE GIVEN UNDER RULE 236: NOTICE GIVEN ON 22-AUG-2014 OF ORDER ENTERED - FINAL DISPOS ENTERED ON 21-AUG-2014.</t>
  </si>
  <si>
    <t>2023-09-15 12:31:00</t>
  </si>
  <si>
    <t>PHILADELPHIA COMMUNITY GROWTH, INC VS WRIGHT ETAL</t>
  </si>
  <si>
    <t>1912 CATHARINE</t>
  </si>
  <si>
    <t>LISPN - LIS PENDENS FILED: CERTIFICATION THAT THIS ACTION INVOLVES TITLE TO REAL ESTATE. PRAECIPE TO INDEX LIS PENDENS AS TO PREMISES 1912 CATHARINE, PHILADELPHIA.</t>
  </si>
  <si>
    <t>2017-04-16 15:17:00</t>
  </si>
  <si>
    <t>GREAT RETURNS, LLC VS KELLAM ETAL</t>
  </si>
  <si>
    <t>GREAT RETURNS LLC</t>
  </si>
  <si>
    <t>KELLAM JR., RALPH</t>
  </si>
  <si>
    <t>2236 WATKINS STREET</t>
  </si>
  <si>
    <t>LISPR - RELEASE OF LIS PENDENS FILED: PRAECIPE TO RELEASE LIS PENDENS AS TO PREMISES 2236 WATKINS, PHILADELPHIA FILED. (FILED ON BEHALF OF GREAT RETURNS, LLC)</t>
  </si>
  <si>
    <t>2021-04-30 14:01:00</t>
  </si>
  <si>
    <t>JPA HOLDINGS VS BRYANT ETAL</t>
  </si>
  <si>
    <t>JPA HOLDINGS</t>
  </si>
  <si>
    <t>BRYANT, BERNICE</t>
  </si>
  <si>
    <t>1000 S 17TH STREET</t>
  </si>
  <si>
    <t xml:space="preserve"> 87113595</t>
  </si>
  <si>
    <t>2023-12-19 09:44:00</t>
  </si>
  <si>
    <t>COMMONWEALTH PRESERVATION ALLIANCE, INC. VS FLITTE</t>
  </si>
  <si>
    <t>FLITTER, MICHAEL; R-5 DEVELOPMENT COMPANY LLC</t>
  </si>
  <si>
    <t>6012 DREXEL ROAD</t>
  </si>
  <si>
    <t>MTASN - MOTION ASSIGNED: 13-23124413 PET-APPT CONSERVATOR-ACT 135 ASSIGNED TO JUDGE: JUDGE, CONSERVATORSHIP . ON DATE: DECEMBER 22, 2023</t>
  </si>
  <si>
    <t>2022-09-23 16:41:00</t>
  </si>
  <si>
    <t>RIDGE POINTE LLC</t>
  </si>
  <si>
    <t>DEVLIN, DANIEL; GOLD ESQ, ARIELLE R; HAMILTON, JOHN ALEXANDER; KLYASHTORNY, NATALIE; NOCHUMSON, ALAN</t>
  </si>
  <si>
    <t>1937 RIDGE AVENUE</t>
  </si>
  <si>
    <t>2016-01-04 12:36:00</t>
  </si>
  <si>
    <t>SCIOLI TURCO, INC. VS RUSSO</t>
  </si>
  <si>
    <t>RUSSO JR, ANTHONY J</t>
  </si>
  <si>
    <t>1802 W RITNER</t>
  </si>
  <si>
    <t>ZR236 - NOTICE GIVEN UNDER RULE 236: NOTICE GIVEN ON 16-FEB-2016 OF ORDER ENTERED - FINAL DISPOS ENTERED ON 16-FEB-2016.</t>
  </si>
  <si>
    <t>2014-08-12 11:01:00</t>
  </si>
  <si>
    <t>WISSAHICKON INTERESTED CITIZENS ASSOCIATION ETAL V</t>
  </si>
  <si>
    <t>INNOVA REDEVELOPMENT LLC; WISSAHICKON INTERESTED CITIZENS ASSOCIATION</t>
  </si>
  <si>
    <t>SACKS, ERIC</t>
  </si>
  <si>
    <t>BENOFF, BART; VANDERMARK, JEREMIAH J</t>
  </si>
  <si>
    <t>5102 ROCHELLE AVENUE</t>
  </si>
  <si>
    <t>ZR236 - NOTICE GIVEN UNDER RULE 236: NOTICE GIVEN ON 21-JAN-2015 OF ORDER ENTERED - FINAL DISPOS ENTERED ON 16-JAN-2015.</t>
  </si>
  <si>
    <t>2014-06-14 14:51:00</t>
  </si>
  <si>
    <t>IN THE MIXX LLC VS SMITH ETAL</t>
  </si>
  <si>
    <t>SMITH, JAMES E</t>
  </si>
  <si>
    <t>1528 RIDGE AVENUE</t>
  </si>
  <si>
    <t>LISPR - RELEASE OF LIS PENDENS FILED: PRAECIPE TO RELEASE LIS PENDENS AS TO PREMISES 1526 RIDGE AVENUE, PHILADELPHIA FILED. (FILED ON BEHALF OF IN THE MIXX LLC)</t>
  </si>
  <si>
    <t>2022-11-14 10:25:00</t>
  </si>
  <si>
    <t>PHILADELPHIA COMMUNITY GROWTH, INC VS UNKNOWN HEIR</t>
  </si>
  <si>
    <t>UNKNOWN HEIRS OF JOSEPH EDWARD ROULHAC</t>
  </si>
  <si>
    <t>M0462 - LISTED-STAT CONF CONSERVATOR: 16-22112416 STATUS HEARING SCHEDULED FOR 11/15/2023 AT 9:30 A.M. VIA ZOOM</t>
  </si>
  <si>
    <t>2019-11-18 13:08:00</t>
  </si>
  <si>
    <t>LOOBY, JAMES A; MILLER, VIOLET T</t>
  </si>
  <si>
    <t>2049 E LETTERLY STREET</t>
  </si>
  <si>
    <t>2019-10-11 10:41:00</t>
  </si>
  <si>
    <t>ALDERFER, SARAH; KLEIN, JARED N; MCILHINNEY, MICHAEL P; TONER, PAUL J</t>
  </si>
  <si>
    <t>KELLUM, DOLORES</t>
  </si>
  <si>
    <t>2223 OPAKFORD STREET</t>
  </si>
  <si>
    <t>MAILR - RETURNED MAIL RECEIVED: RETURNED MAIL ARBITRATION HEARING DATED 09/15/21 AS UNDELIVERABLE AT THE ADDRESS ON FILE WITH THE COURT TO THE FOLLOWING PARTY: PHILADELPHIA TRAFFIC COURT.</t>
  </si>
  <si>
    <t>2022-03-31 11:42:00</t>
  </si>
  <si>
    <t>SCIOLI TURCO, INC. VS ESTATE OF COLLIE HOLDEN ETAL</t>
  </si>
  <si>
    <t>ALL UNKNOWN HEIRS; BROWN, TIARA; HOLDEN ESTATE OF, COLLIE; HOLDEN ESTATE OF, ELLEN; HOLDEN JR, COLLIE</t>
  </si>
  <si>
    <t>1335 S HICKS STREET</t>
  </si>
  <si>
    <t>MAILR - RETURNED MAIL RECEIVED: RETURN MAIL ORDER DATED 12-DEC-2023 AS UNDELIVERABLE AT THE ADDRESS ON FILE WITH THE COURT TO THE FOLLOWING PARTY: COLLIE HOLDEN</t>
  </si>
  <si>
    <t>2015-02-27 15:54:00</t>
  </si>
  <si>
    <t>ZR236 - NOTICE GIVEN UNDER RULE 236: NOTICE GIVEN ON 08-JUN-2015 OF ORDER ENTERED/236 NOTICE GIVEN ENTERED ON 04-JUN-2015.</t>
  </si>
  <si>
    <t>2018-05-30 16:04:00</t>
  </si>
  <si>
    <t xml:space="preserve">GLOBAL GIVINGS DEVELOPMENT CORPORATION VS OVERTON </t>
  </si>
  <si>
    <t>OVERTON, FARISE</t>
  </si>
  <si>
    <t>6027 WASHINGTON AVENUE</t>
  </si>
  <si>
    <t>033107200</t>
  </si>
  <si>
    <t>M0378 - CORRECTION TO JUDGMENT INDEX: CORRECTION TO IN REM INDEX: LIS PENDENS AGAINST 6027 WASHINGTON AVENUE IS VACATED PURSUANT TO COURT ORDER DATED 8/28/19.  IN REM INDEX UPDATED ON 9/10/19.</t>
  </si>
  <si>
    <t>2018-06-06 15:59:00</t>
  </si>
  <si>
    <t>WAHL VS THE ESTATE OF CLORINE WILLIAMS ETAL</t>
  </si>
  <si>
    <t>WAHL, MATT</t>
  </si>
  <si>
    <t>ALL UNKNOWN HEIRS; WILLIAMS ESTATE OF, CLORINE; WILLIAMS ESTATE OF, WAYMOND</t>
  </si>
  <si>
    <t>848 PERKIOMEN STREET</t>
  </si>
  <si>
    <t>MAILR - RETURNED MAIL RECEIVED: RETURNED MAIL ORDER DATED 12/07/18 AS UNDELIVERABLE AT THE ADDRESS ON FILE WITH THE COURT TO THE FOLLOWING PARTY: MID-PENN CONSUMER DISCOUNT COMPANY.</t>
  </si>
  <si>
    <t>2018-12-20 16:10:00</t>
  </si>
  <si>
    <t>VICTORIA WOODIE ADMINISTRATOR OF ESTATE OF LONNIE P HERRING</t>
  </si>
  <si>
    <t>1309 N 25TH STREET</t>
  </si>
  <si>
    <t>ORDMN - COURT ORDERED PAYOUT OF ESCROW: CHECK #9417 IN THE AMOUNT OF $10,200.00 WAS RELEASED TO PHILADELPHIA COMMUNITY DEVELOPMENT COALITION INC</t>
  </si>
  <si>
    <t>2014-02-26 16:00:00</t>
  </si>
  <si>
    <t>MT. AIRY, USA INC. VS LGD REAL ESTATE PARTNERS, L.</t>
  </si>
  <si>
    <t>LGD REAL ESTATE PARTNERS LP</t>
  </si>
  <si>
    <t>BOWMAN, MICHAEL A; MARTIN, MARY-KATE</t>
  </si>
  <si>
    <t>6657-59 GERMANTOWN AVENUE</t>
  </si>
  <si>
    <t>PRSDE - PRAEC/SETTLE DISCONTINUE END: SETTLED VIA S D &amp; E PRAECIPE FILED. (FILED ON BEHALF OF MT. AIRY, USA INC.)</t>
  </si>
  <si>
    <t>2022-06-14 11:24:00</t>
  </si>
  <si>
    <t>DOUGLAS, DANIELLE</t>
  </si>
  <si>
    <t>BOOKER, VAUGHN A</t>
  </si>
  <si>
    <t>4813 CHESTNUT STREET</t>
  </si>
  <si>
    <t>PRSDE - PRAEC/SETTLE DISCONTINUE END: SETTLED VIA S D &amp; E PRAECIPE FILED. (FILED ON BEHALF OF PHILADELPHIA CONSERVATORSHIP ASSOCIATION INC)</t>
  </si>
  <si>
    <t>2020-09-01 07:44:00</t>
  </si>
  <si>
    <t>SCUTCHING, CONTRICIA</t>
  </si>
  <si>
    <t>2156 N PERCY STREET</t>
  </si>
  <si>
    <t>ZR236 - NOTICE GIVEN UNDER RULE 236: NOTICE GIVEN ON 17-MAY-2022 OF ORDER ENTERED/236 NOTICE GIVEN ENTERED ON 17-MAY-2022.</t>
  </si>
  <si>
    <t>2019-08-05 15:09:00</t>
  </si>
  <si>
    <t>MCILHINNEY, MICHAEL P; SWAIN, ANDREW D; TONER, PAUL J</t>
  </si>
  <si>
    <t>2441 W SEYBERT LLC</t>
  </si>
  <si>
    <t>JAFFE, DAVID S; ZRILLO, LAUREN</t>
  </si>
  <si>
    <t>2441 SEYBERT STREET</t>
  </si>
  <si>
    <t>2019-05-17 19:03:00</t>
  </si>
  <si>
    <t>PHILADELPHIA COMMUNITY DEVELOPMENT COALITION INC.,</t>
  </si>
  <si>
    <t>LEEPER, BEATRICE S; UNKNOWN HEIRS OF BEATRICE AKA BEATRICE E GROSS</t>
  </si>
  <si>
    <t>MORRIS, ROSLYN D</t>
  </si>
  <si>
    <t>1609 ELLSWORTH STREET</t>
  </si>
  <si>
    <t>2016-03-21 14:06:00</t>
  </si>
  <si>
    <t>IS3 1234, LLC VS MDDANIEL</t>
  </si>
  <si>
    <t>MCDANIEL, KAREN</t>
  </si>
  <si>
    <t>2936 W FLORA STREET</t>
  </si>
  <si>
    <t>ZR236 - NOTICE GIVEN UNDER RULE 236: NOTICE GIVEN ON 01-JUN-2016 OF ORDER ENTERED - FINAL DISPOS ENTERED ON 31-MAY-2016.</t>
  </si>
  <si>
    <t>2016-12-05 10:43:00</t>
  </si>
  <si>
    <t>SCIOLI TURCO, INC. VS FENG ETAL</t>
  </si>
  <si>
    <t>DOU DENG, YA; FENG JIN, CHAO</t>
  </si>
  <si>
    <t>BERGER, PHILLIP D; TAYLOR 626, WILLIAM JON HENRY</t>
  </si>
  <si>
    <t>2601 S 18TH STREET</t>
  </si>
  <si>
    <t>ZR236 - NOTICE GIVEN UNDER RULE 236: NOTICE GIVEN ON 22-AUG-2018 OF ORDER ENTERED/236 NOTICE GIVEN ENTERED ON 17-AUG-2018.</t>
  </si>
  <si>
    <t>2023-05-09 12:32:00</t>
  </si>
  <si>
    <t>PHILADELPHIA HOUSING AUTHORITY</t>
  </si>
  <si>
    <t>2446 N DELHI STREET</t>
  </si>
  <si>
    <t>PRATT - PRAECIPE TO SUPPL/ATTACH FILED: 08-23051908 PRAECIPE TO SUPPLEMENT/ATTACH RE: PET-APPT CONSERVATOR-ACT 135 FILED. (FILED ON BEHALF OF PHILADELPHIA COMMUNITY DEVELOPMENT COALITION, INC.)</t>
  </si>
  <si>
    <t>2020-05-29 16:01:00</t>
  </si>
  <si>
    <t>MARINAKOS VS TUCKER ETAL</t>
  </si>
  <si>
    <t>MARINAKOS, PLATO</t>
  </si>
  <si>
    <t>AMAZAN, CLEMENTA; KLYASHTORNY, NATALIE; MCILHINNEY, MICHAEL P; NOCHUMSON, ALAN; TONER, PAUL J</t>
  </si>
  <si>
    <t>1740 WYLIE</t>
  </si>
  <si>
    <t>ZR236 - NOTICE GIVEN UNDER RULE 236: NOTICE GIVEN ON 23-MAR-2021 OF OPINION FILED/236 NOTICE GIVEN ENTERED ON 20-MAR-2021.</t>
  </si>
  <si>
    <t>2021-09-13 16:44:00</t>
  </si>
  <si>
    <t>GLOBAL HOLDINGS OF GREATER PHILADELPHIA VS WMMV LL</t>
  </si>
  <si>
    <t>GLOBAL HOLDINGS OF PHILADELPHIA</t>
  </si>
  <si>
    <t>WMMV LLC; XIAOHONG ZHOU, MARILYN</t>
  </si>
  <si>
    <t>COLE, ROBERT E</t>
  </si>
  <si>
    <t>1753 S TAYLOR STREET</t>
  </si>
  <si>
    <t>JDORF - JUDGMENT-COURT ORDER FINAL DIS: PRAECIPE FOR ENTRY OF JUDGMENT FILED. 
CERTIFICATE OF SERVICE FILED. NOTICE UNDER RULE 236. 
JUDGMENT IS ENTERED IN FAVOR OF GLOBAL HOLDINGS OF PHILADELPHIA AND AGAINST WMMV LLCI N THE AMOUNT OF $12,640.53 ON THE COURT ORDER DATED 08/11/2022.</t>
  </si>
  <si>
    <t>2017-01-09 10:31:00</t>
  </si>
  <si>
    <t>IN THE MIXX LLC VS WOMELSDORF ETAL</t>
  </si>
  <si>
    <t>ALL UNKNOWN HEIRS; WOMELSDORF, ALBERT H; WOMELSDORF, CLARA J</t>
  </si>
  <si>
    <t>PEARLSTEIN, MARK S</t>
  </si>
  <si>
    <t>2055 AMBER STREET</t>
  </si>
  <si>
    <t>APORA - ORDER AFFIRMED BY APPELLATE CT: 3284 EDA 2017    ORDER AFFIRMED.  JUDGMENT ENTERED.</t>
  </si>
  <si>
    <t>2018-03-23 16:46:00</t>
  </si>
  <si>
    <t>PA NEIGHBORHOOD DEVELOPMENT PARTNERSHIP VS BETTERS</t>
  </si>
  <si>
    <t>BETTERSON, LAWRENCE; BETTERSON, MARGARET</t>
  </si>
  <si>
    <t>RUBINSTEIN, JASON A</t>
  </si>
  <si>
    <t>1255 N 24TH</t>
  </si>
  <si>
    <t>ZR236 - NOTICE GIVEN UNDER RULE 236: NOTICE GIVEN ON 01-MAY-2019 OF ORDER ENTERED - FINAL DISPOS ENTERED ON 30-APR-2019.</t>
  </si>
  <si>
    <t>2017-03-28 16:01:00</t>
  </si>
  <si>
    <t>PM INVESTMENT PROPERTIES LLC</t>
  </si>
  <si>
    <t>1419 S 20TH STREET</t>
  </si>
  <si>
    <t>2023-07-24 14:34:00</t>
  </si>
  <si>
    <t>SCIOLI TURCO, INC. VS 3131 FRANKFORD AVE, LLC ETAL</t>
  </si>
  <si>
    <t>3131 FRANKFORD AVE LLC</t>
  </si>
  <si>
    <t>LISPN - LIS PENDENS FILED: CERTIFICATION THAT THIS ACTION INVOLVES TITLE TO REAL ESTATE. PRAECIPE TO INDEX LIS PENDENS AS TO PREMISES 1601 W ALLEGHENY AVENUE, PHILADELPHIA.</t>
  </si>
  <si>
    <t>2012-04-24 15:07:00</t>
  </si>
  <si>
    <t>SCIOLI TURCO, INC. VS ALVEARIO ETAL</t>
  </si>
  <si>
    <t>ALVEARIO, ANTHONY</t>
  </si>
  <si>
    <t>1020 MONTROSE STREET</t>
  </si>
  <si>
    <t>2019-04-18 16:15:00</t>
  </si>
  <si>
    <t>JPA HOLDINGS, LLC  VS PERSON ETAL</t>
  </si>
  <si>
    <t>PERSON, CHARLES; PERSON, EDITH</t>
  </si>
  <si>
    <t>MAFFUCCI, WILLIAM J</t>
  </si>
  <si>
    <t>1517 CARPENTER</t>
  </si>
  <si>
    <t>MTWTD - MOTION/PETITION/STIP WITHDRAWN: 42-19042442 PRAECIPE TO WITHDRAW PET-APPT CONSERVATOR-ACT 135 FILED. (FILED ON BEHALF OF JPA HOLDINGS LLC)</t>
  </si>
  <si>
    <t>2015-06-05 08:59:00</t>
  </si>
  <si>
    <t>SCIOLI TURCO, INC. VS TITH ETAL</t>
  </si>
  <si>
    <t>TITH, LISA R; TUCH, MARTIN</t>
  </si>
  <si>
    <t>1714 PIERCE STREET</t>
  </si>
  <si>
    <t>LISPR - RELEASE OF LIS PENDENS FILED: PRAECIPE TO RELEASE LIS PENDENS AS TO PREMISES 1714 PIERCE STREET, PHILADELPHIA FILED. (FILED ON BEHALF OF SCIOLI TURCO, INC.)</t>
  </si>
  <si>
    <t>2023-01-18 13:13:00</t>
  </si>
  <si>
    <t>PHILADELPHIA COMMUNITY GROWTH, INC ETAL VS PHILADE</t>
  </si>
  <si>
    <t>COMMONWEALTH PRESERVATION ALLIANCE INC; PHILADELPHIA COMMUNITY GROWTH INC</t>
  </si>
  <si>
    <t>1546 S 30TH STREET</t>
  </si>
  <si>
    <t>2016-05-19 11:37:00</t>
  </si>
  <si>
    <t>INNOVA SERVICES CORPORATION VS JONES ETAL</t>
  </si>
  <si>
    <t>JONES, LEON</t>
  </si>
  <si>
    <t>RUBIN, DAVID N</t>
  </si>
  <si>
    <t>1515 S CHADWICK ST</t>
  </si>
  <si>
    <t>ZR236 - NOTICE GIVEN UNDER RULE 236: NOTICE GIVEN ON 22-SEP-2016 OF ORDER ENTERED - FINAL DISPOS ENTERED ON 21-SEP-2016.</t>
  </si>
  <si>
    <t>2014-08-14 16:23:00</t>
  </si>
  <si>
    <t>323 W GIRARD AVENUE</t>
  </si>
  <si>
    <t>2018-12-02 20:22:00</t>
  </si>
  <si>
    <t>41 BROWN, LLC VS NGUYEN ETAL</t>
  </si>
  <si>
    <t>NGUYEN, PHUC HONG</t>
  </si>
  <si>
    <t>806 N 41ST STREET</t>
  </si>
  <si>
    <t>062251800</t>
  </si>
  <si>
    <t>2020-07-28 17:06:00</t>
  </si>
  <si>
    <t>CENTENNIAL PARKSIDE CDC VS RULTENBERG ETAL</t>
  </si>
  <si>
    <t>RULTENBERG, DONNA; RULTENBERG, STANTON</t>
  </si>
  <si>
    <t>SINOWITZ, STANLEY J</t>
  </si>
  <si>
    <t>1719 N 42ND</t>
  </si>
  <si>
    <t>2019-03-04 12:49:00</t>
  </si>
  <si>
    <t>2608 INGERSOLL STREET</t>
  </si>
  <si>
    <t>2016-04-22 13:33:00</t>
  </si>
  <si>
    <t>SCIOLI TURCO VS CILIONE</t>
  </si>
  <si>
    <t>CILIONE, VALERIE A</t>
  </si>
  <si>
    <t>1942 S BOUVIER STREET</t>
  </si>
  <si>
    <t>ZR236 - NOTICE GIVEN UNDER RULE 236: NOTICE GIVEN ON 08-AUG-2016 OF ORDER ENTERED - FINAL DISPOS ENTERED ON 05-AUG-2016.</t>
  </si>
  <si>
    <t>2015-07-30 15:55:00</t>
  </si>
  <si>
    <t>SARTAIN MANAGEMENT PARTNERS, LP VS PONE ETAL</t>
  </si>
  <si>
    <t>PONE, BRENDA S</t>
  </si>
  <si>
    <t>MARTIN, MARY-KATE; SMITH, DAVID</t>
  </si>
  <si>
    <t>3010 W CABOT STREET</t>
  </si>
  <si>
    <t>ORDRF - ORDER ENTERED - FINAL DISPOS: SEE ORDER DATED 1/13/2016 BY JUDGE NEW.   JPE/CAO 2/8/2016</t>
  </si>
  <si>
    <t>2019-07-12 12:36:00</t>
  </si>
  <si>
    <t>HUFF-LABOVITZ VS MONAHAN ETAL</t>
  </si>
  <si>
    <t>HUFF-LABOVITZ, GEORGEANNE</t>
  </si>
  <si>
    <t>MONAHAN, EMMETT P</t>
  </si>
  <si>
    <t>WOODS, GERARD J</t>
  </si>
  <si>
    <t>7042 TULIP STREET</t>
  </si>
  <si>
    <t>LISPR - RELEASE OF LIS PENDENS FILED: PRAECIPE TO RELEASE LIS PENDENS AS TO PREMISES 7042 TULIP STREET, PHILADELPHIA FILED. (FILED ON BEHALF OF GEORGEANNE HUFF-LABOVITZ)</t>
  </si>
  <si>
    <t>2015-04-14 14:09:00</t>
  </si>
  <si>
    <t>AFDVT - AFFIDAVIT OF SERVICE FILED: AFFIDAVIT OF SERVICE OF PETITION AND ORDER UPON ZAVON HARRIS BY PERSONAL SERVICE ON 07/25/2015 FILED.</t>
  </si>
  <si>
    <t>2014-11-11 17:15:00</t>
  </si>
  <si>
    <t>GRIFO, ROSARIO A; STAVRAKIS, CYNTHIA</t>
  </si>
  <si>
    <t>AFDVT - AFFIDAVIT OF SERVICE FILED: AFFIDAVIT OF SERVICE OF PETITION AND ORDER TO SHOW CAUSE UPON PATRICIA HILL BY ON 02/13/2015 FILED.</t>
  </si>
  <si>
    <t>2024-02-05 11:54:00</t>
  </si>
  <si>
    <t>60 COLLOM STREET</t>
  </si>
  <si>
    <t>LISPN - LIS PENDENS FILED: CERTIFICATION THAT THIS ACTION INVOLVES TITLE TO REAL ESTATE. PRAECIPE TO INDEX LIS PENDENS AS TO PREMISES 60 COLLOM STREET, PHILADELPHIA.</t>
  </si>
  <si>
    <t>2022-06-29 15:50:00</t>
  </si>
  <si>
    <t>VIVEKANANTHAN, ANURA K</t>
  </si>
  <si>
    <t>CARLETON, MICHAEL E; CONNOR, CRISTINA LYNN; DIETTERICK, SCOTT A; HONG, KIMBERLY J; OFLAZIAN, ALYK L; PLATT, MONICA C; WOLF, KATHERINE M; WOOTERS, MEREDITH</t>
  </si>
  <si>
    <t>2337 WHARTON STREET</t>
  </si>
  <si>
    <t>2020-03-02 10:15:00</t>
  </si>
  <si>
    <t>GLOBAL GIVINGS DEVELOPMENT CORPORATION VS TILGHMAN</t>
  </si>
  <si>
    <t>TILGHMAN, HERLENE V; TILGHMAN, RONALD LEO</t>
  </si>
  <si>
    <t>2058 MORRIS</t>
  </si>
  <si>
    <t>M0279 - MOTION/PETITION/STIP WITHDRAWN: 61-20030061 PRAECIPE TO WITHDRAW PET-APPT CONSERVATOR-ACT 135 FILED. (FILED ON BEHALF OF GLOBAL GIVINGS DEVELOPMENT CORPORATION)</t>
  </si>
  <si>
    <t>2019-09-04 14:51:00</t>
  </si>
  <si>
    <t>SAMUELS, TRACEY; UNKNOWN HEIRS OF DOROTHY ANDERSON</t>
  </si>
  <si>
    <t>1845 N MARSTON STREET</t>
  </si>
  <si>
    <t>2016-04-05 13:40:00</t>
  </si>
  <si>
    <t>AHN DEVELOPMENT LLC; JACKSON, TRACEY M</t>
  </si>
  <si>
    <t>FORD, HOWARD G; MONROE 410, MATTHEW C</t>
  </si>
  <si>
    <t>1506 MANTON ST</t>
  </si>
  <si>
    <t>ORDMN - COURT ORDERED PAYOUT OF ESCROW: check#1620 IN AMOUNT OF $8,004.18 WAS DISBURSED TO SCIOLI TURCO INC</t>
  </si>
  <si>
    <t>2019-03-18 09:42:00</t>
  </si>
  <si>
    <t>2442 INGERSOLL LLC; BROWN, CLINTON</t>
  </si>
  <si>
    <t>2442 INGERSOLL STREET</t>
  </si>
  <si>
    <t>ZR236 - NOTICE GIVEN UNDER RULE 236: NOTICE GIVEN ON 31-OCT-2019 OF SETTLED BY STIPULATION ENTERED ON 30-OCT-2019.</t>
  </si>
  <si>
    <t>2017-09-22 16:09:00</t>
  </si>
  <si>
    <t>SELECT NEIGHBORHOODS, INC. VS THE ESTATE OF WILLIA</t>
  </si>
  <si>
    <t>HUBBERT III, JOHN J; MILLER, ANDREW L; STEIN, JONATHAN E; VANDERSLICE, RICHARD L</t>
  </si>
  <si>
    <t>ALL UNKNOWN HEIRS; RIGHTER ESTATE OF, JEAN; RIGHTER ESTATE OF, WILLIAM</t>
  </si>
  <si>
    <t>BURNS, EILEEN T; KENNY, THOMAS D</t>
  </si>
  <si>
    <t>1720 S ORIANNA</t>
  </si>
  <si>
    <t>011423700</t>
  </si>
  <si>
    <t>MAILR - RETURNED MAIL RECEIVED: RETURNED MAIL TRIAL WORKSHEET DATED 03/21/19 AS UNDELIVERABLE AT THE ADDRESS ON FILE WITH THE COURT TO THE FOLLOWING PARTY: ESTATE OF WILLIAM RIGHTER.</t>
  </si>
  <si>
    <t>2023-10-11 12:55:00</t>
  </si>
  <si>
    <t>WEINSTEIN PROPERTIES, LLC VS PHILADELPHIA REDEVELO</t>
  </si>
  <si>
    <t>WEINSTEIN PROPERTIES LLC</t>
  </si>
  <si>
    <t>5820-24 GERMANTOWN AVENUE</t>
  </si>
  <si>
    <t>LISPN - LIS PENDENS FILED: CERTIFICATION THAT THIS ACTION INVOLVES TITLE TO REAL ESTATE. PRAECIPE TO INDEX LIS PENDENS AS TO PREMISES 5820-24 GERMANTOWN AVENUE, PHILADELPHIA.</t>
  </si>
  <si>
    <t>2020-07-14 15:22:00</t>
  </si>
  <si>
    <t>FAIRMOUNT COMMUNITY DEVELOPMENT CORPORATION VS SCO</t>
  </si>
  <si>
    <t>FAIRMOUNT COMMUNITY DEVELOPMENT CORPORATION</t>
  </si>
  <si>
    <t>MOY, TYRIC; PINCKNEY, ANDREW; SCOTT, CLAUDIA; SCOTT, KEITH</t>
  </si>
  <si>
    <t>RICHARDSON, COURTNEY N</t>
  </si>
  <si>
    <t>1233 N 28TH STREET</t>
  </si>
  <si>
    <t>PRSDE - PRAEC/SETTLE DISCONTINUE END: SETTLED VIA S D &amp; E PRAECIPE FILED. (FILED ON BEHALF OF FAIRMOUNT COMMUNITY DEVELOPMENT CORPORATION)</t>
  </si>
  <si>
    <t>2022-09-06 12:47:00</t>
  </si>
  <si>
    <t>TRINH, CHAI PHET; TRINH, VUI; TRINH, VUI CHIEN</t>
  </si>
  <si>
    <t>MILLER, ANDREW L</t>
  </si>
  <si>
    <t>1110 S 07TH STREET</t>
  </si>
  <si>
    <t>021476700</t>
  </si>
  <si>
    <t>M0444 - LISTED-HRNG CONSERVATOR ACT: 86-22090786 EVIDENTIARY HEARING SCHEDULED FOR 7/11/23 AT 9:30 A.M. IN COURTROOM 453, CITY HALL.</t>
  </si>
  <si>
    <t>2017-09-13 13:51:00</t>
  </si>
  <si>
    <t>WAYNE JUNCTION PROPERTIES, LLC  VS THE ORIGINAL GL</t>
  </si>
  <si>
    <t>WAYNE JUNCTION PROPERTIES LLC</t>
  </si>
  <si>
    <t>ORIGINAL GLORIOUS CHURCH OF GOD IN CHRIST INC</t>
  </si>
  <si>
    <t>BERTIL, STEVE; FINEMAN, S DAVID; HORVITZ, JOSHUA B; WAKEFIELD, STEVEN A; WIND, BRANDON R</t>
  </si>
  <si>
    <t>147-53 BERKLEY</t>
  </si>
  <si>
    <t>MAILR - RETURNED MAIL RECEIVED: RETURNED MAIL ORDER DATED 09/15/20 AS UNDELIVERABLE AT THE ADDRESS ON FILE WITH THE COURT TO THE FOLLOWING PARTY: JAMES M MELLOR.</t>
  </si>
  <si>
    <t>2019-07-03 18:25:00</t>
  </si>
  <si>
    <t>1818 N MARSTON STREET</t>
  </si>
  <si>
    <t>MAILR - RETURNED MAIL RECEIVED: RETURNED MAIL ORDER DATED 08/19/20 AS UNDELIVERABLE AT THE ADDRESS ON FILE WITH THE COURT TO THE FOLLOWING PARTY: PHILADELPHIA TRAFFIC COURT.</t>
  </si>
  <si>
    <t>2016-03-23 15:04:00</t>
  </si>
  <si>
    <t>SABO VS KEITT</t>
  </si>
  <si>
    <t>KEITT, LEROY</t>
  </si>
  <si>
    <t>1427 POINT BREEZE AVENUE</t>
  </si>
  <si>
    <t>2018-01-29 18:35:00</t>
  </si>
  <si>
    <t>IN THE MIXX, LLC VS SANTIAGO ETAL</t>
  </si>
  <si>
    <t>PEARL, JAMES L; SOBEL, JONATHAN J</t>
  </si>
  <si>
    <t>1601 MOUNT VERNON STREET</t>
  </si>
  <si>
    <t>M0452 - TRIAL/HEARING EXHIBIT LIST</t>
  </si>
  <si>
    <t>2023-06-09 10:16:00</t>
  </si>
  <si>
    <t>SCIOLI TURCO, INC. VS TRAN REAL ESTATE, LLC ETAL</t>
  </si>
  <si>
    <t>TRAN REAL ESTATE LLC</t>
  </si>
  <si>
    <t>1528 SNYDER AVENUE</t>
  </si>
  <si>
    <t>LISPN - LIS PENDENS FILED: CERTIFICATION THAT THIS ACTION INVOLVES TITLE TO REAL ESTATE. PRAECIPE TO INDEX LIS PENDENS AS TO PREMISES 1528 SNYDER AVENUE, PHILADELPHIA.</t>
  </si>
  <si>
    <t>2019-09-06 10:19:00</t>
  </si>
  <si>
    <t>ALDERFER, SARAH; PECORA ESQ, JOSEPH; TONER, PAUL J</t>
  </si>
  <si>
    <t>SHO SHO INVESTMENTS LLC</t>
  </si>
  <si>
    <t>2338 CECIL B MOORE AVENUE</t>
  </si>
  <si>
    <t>2014-02-11 12:49:00</t>
  </si>
  <si>
    <t>SCIOLI TURCO, INC. VS LANDVEST, LLP ETAL</t>
  </si>
  <si>
    <t>LANDVEST LLP</t>
  </si>
  <si>
    <t>HOLLISTER, MICHAEL T</t>
  </si>
  <si>
    <t>2634 E THOMPSON STREET</t>
  </si>
  <si>
    <t>ZR236 - NOTICE GIVEN UNDER RULE 236: NOTICE GIVEN ON 10-MAR-2014 OF ORDER ENTERED - FINAL DISPOS ENTERED ON 07-MAR-2014.</t>
  </si>
  <si>
    <t>2022-03-29 14:49:00</t>
  </si>
  <si>
    <t>SOUTHWEST COMMUNITY DEVELOPMENT CORPORATION VS ODE</t>
  </si>
  <si>
    <t>ODENIYI, ALLEN; ODENIYI, FOLSADE</t>
  </si>
  <si>
    <t>5121 MALCOLM</t>
  </si>
  <si>
    <t>2019-04-22 13:00:00</t>
  </si>
  <si>
    <t>STEINMILLER VS VOLPE ETAL</t>
  </si>
  <si>
    <t>STEINMILLER, HEATHER</t>
  </si>
  <si>
    <t>HOPE, JENNIFER L; MONROE 410, MATTHEW C</t>
  </si>
  <si>
    <t>LINDA, VOLPE F; VOLPE, VOLPE F</t>
  </si>
  <si>
    <t>BARTOLOMEO JR., PAUL J; VANDERSLICE, RICHARD L; WATSON, DEANNA E</t>
  </si>
  <si>
    <t>2026 PEMBERTON STREET</t>
  </si>
  <si>
    <t xml:space="preserve"> 30108380</t>
  </si>
  <si>
    <t>PRSDE - PRAEC/SETTLE DISCONTINUE END: SETTLED VIA S D &amp; E PRAECIPE FILED. (FILED ON BEHALF OF HEATHER STEINMILLER)</t>
  </si>
  <si>
    <t>2022-02-28 11:57:00</t>
  </si>
  <si>
    <t>PHILADELPHIA COMMUNITY GROWTH, INC. VS DU ETAL</t>
  </si>
  <si>
    <t>DU, EVON</t>
  </si>
  <si>
    <t>1408 CASTLE AVENUE</t>
  </si>
  <si>
    <t>LISPR - RELEASE OF LIS PENDENS FILED: PRAECIPE TO RELEASE LIS PENDENS AS TO PREMISES 1408 CASTLE AVENUE, PHILADELPHIA FILED. (FILED ON BEHALF OF PHILADELPHIA COMMUNITY GROWTH INC)</t>
  </si>
  <si>
    <t>2019-11-24 15:57:00</t>
  </si>
  <si>
    <t>BOSTIC JACKSON, LAVERNE; BOSTIC, SANDRA; UNKNOWN HEIRS OF BERTHA ALLEN</t>
  </si>
  <si>
    <t>2620 FEDERAL STREET</t>
  </si>
  <si>
    <t>2015-06-18 16:27:00</t>
  </si>
  <si>
    <t>SCIOLI TURCO, INC. VS BILES ETAL</t>
  </si>
  <si>
    <t>BILES, ANNA M</t>
  </si>
  <si>
    <t>814 WHARTON STREET</t>
  </si>
  <si>
    <t>012194600</t>
  </si>
  <si>
    <t>2022-08-16 17:26:00</t>
  </si>
  <si>
    <t>PLATINUM REAL ESTATE &amp; APPRAISALS LLC</t>
  </si>
  <si>
    <t>MIDZAK, PAUL M</t>
  </si>
  <si>
    <t>1910 N DARIEN STREET</t>
  </si>
  <si>
    <t>MAILR - RETURNED MAIL RECEIVED: RETURNED MAIL ORDER DATED 24-AUG-2022 AS UNDELIVERABLE AT THE ADDRESS ON FILE WITH THE COURT TO THE FOLLOWING PARTY: PLATINUM REAL ESTATE &amp; APPRAISALS LLC.</t>
  </si>
  <si>
    <t>2023-12-11 14:00:00</t>
  </si>
  <si>
    <t>1537 TULPEHOCKEN LLC VS WILLIAMS ETAL</t>
  </si>
  <si>
    <t>ALL UNKNOWN HEIRS; WILLIAMS, ETHEL MAE; WILLIAMS, THOMAS</t>
  </si>
  <si>
    <t>816 UNION STREET</t>
  </si>
  <si>
    <t>MTASN - MOTION ASSIGNED: 45-23122145 PET-APPT CONSERVATOR-ACT 135 ASSIGNED TO JUDGE: JUDGE, CONSERVATORSHIP . ON DATE: DECEMBER 13, 2023</t>
  </si>
  <si>
    <t>2013-12-03 17:03:00</t>
  </si>
  <si>
    <t>PHILADELPHIA HOUSING IMPROVEMENT PROJECT VS BONK E</t>
  </si>
  <si>
    <t>BONK, JOHN K</t>
  </si>
  <si>
    <t>SHLAMOWITZ, LEE M</t>
  </si>
  <si>
    <t>056199500</t>
  </si>
  <si>
    <t>DISPO - DISPOSED -  CASE CLOSED: 58-13120558   PETITION TO APPOINT CONSERVATOR - ACT 135 PETITION WITHDRAWN AS PER WITHDRAW FILED 3/25/14 AT 14:01 BY PETITIONER, JASON RABINOVICH, ESQUIRE.</t>
  </si>
  <si>
    <t>2017-11-15 08:58:00</t>
  </si>
  <si>
    <t>NORTH 21 STREET LLC</t>
  </si>
  <si>
    <t>SHNAYDER, STAN</t>
  </si>
  <si>
    <t>2021-08-06 13:51:00</t>
  </si>
  <si>
    <t xml:space="preserve">PA NEIGHBORHOOD DEVELOPMENT PARTNERSHIP VS JEBTRY </t>
  </si>
  <si>
    <t>JEBTRY AND COMPANY</t>
  </si>
  <si>
    <t>5237 CEDAR AVE.</t>
  </si>
  <si>
    <t>LISPR - RELEASE OF LIS PENDENS FILED: PRAECIPE TO RELEASE LIS PENDENS AS TO PREMISES 5237 CEDAR AVENUE, PHILADELPHIA, PA FILED.</t>
  </si>
  <si>
    <t>2020-12-14 16:06:00</t>
  </si>
  <si>
    <t>SCIOLI TURCO, INC. VS MCKEEGAN</t>
  </si>
  <si>
    <t>BERMAN, KENNETH D; GREY, STEPHANIE M; PICCIRILLI, GAETANO P</t>
  </si>
  <si>
    <t>MCKEEGAN, THOMAS J</t>
  </si>
  <si>
    <t>MUKLEWICZ, DANIEL</t>
  </si>
  <si>
    <t>3421R WARDEN DRIVE</t>
  </si>
  <si>
    <t>2019-03-14 16:17:00</t>
  </si>
  <si>
    <t>HASAN, AMAI</t>
  </si>
  <si>
    <t>1810 MUTTER STREET</t>
  </si>
  <si>
    <t>M0378 - CORRECTION TO JUDGMENT INDEX: CORRECTION TO IN REM INDEX: LIS PENDENS AGAINST 1810 MUTTER STREET IS LIFTED PURSUANT TO COURT ORDER DATED 8/2/19.  INDEX UPDATED ON 8/8/19.</t>
  </si>
  <si>
    <t>2023-02-10 16:40:00</t>
  </si>
  <si>
    <t>SCIOLI TURCO, INC. VS J Z PROPERTIES, LLC ETAL</t>
  </si>
  <si>
    <t>J Z PROPERTIES LLC</t>
  </si>
  <si>
    <t>MAILR - RETURNED MAIL RECEIVED: RETURNED MAIL ORDER DATED 5/19/23 AS UNDELIVERABLE AT THE ADDRESS ON FILE WITH THE COURT TO THE FOLLOWING PARTY: J Z PROPERTIES LLC.</t>
  </si>
  <si>
    <t>2019-04-30 14:33:00</t>
  </si>
  <si>
    <t>JUNK PROPERTY, LLC VS VARGAS ETAL</t>
  </si>
  <si>
    <t>JUNK PROPERTY LLC</t>
  </si>
  <si>
    <t>DENENBERG, DAVID H; POPELACK, JENNIFER; VANDERSLICE, RICHARD L</t>
  </si>
  <si>
    <t>VARGAS, MARVIN</t>
  </si>
  <si>
    <t>5216-18 CHESTER AVENUE</t>
  </si>
  <si>
    <t>AFDVT - AFFIDAVIT OF SERVICE FILED: AFFIDAVIT OF SERVICE OF AFFIDAVIT PURSUANT TO PARCP 3129 UPON RODGER G WILLIAMS, MARVIN VARGAS, CITY OF PHILADELPHIA SOLICITOR AND CITY OF PHILADELPHIA BY FIRST CLASS REGULAR MAIL ON 08/24/2023 FILED. (FILED ON BEHALF OF JUNK PROPERTY LLC)</t>
  </si>
  <si>
    <t>2017-06-19 13:40:00</t>
  </si>
  <si>
    <t>GLOBAL HOLDINGS GREATER PHILADELPHIA, LLC VS HERRI</t>
  </si>
  <si>
    <t>CULBREATH ESTATE OF CHARLES J CULBREATH ADMIN, IDA M; HERRING, TESHADA</t>
  </si>
  <si>
    <t>JENKINS, LISA REO</t>
  </si>
  <si>
    <t>2135 FERNON</t>
  </si>
  <si>
    <t>ZR236 - NOTICE GIVEN UNDER RULE 236: NOTICE GIVEN ON 20-NOV-2018 OF ORDER ENTERED - FINAL DISPOS ENTERED ON 19-NOV-2018.</t>
  </si>
  <si>
    <t>2013-07-08 16:04:00</t>
  </si>
  <si>
    <t>SCIOLI TURCO, INC. VS  WEATHERBE ETAL</t>
  </si>
  <si>
    <t>WEATHERBE, VERNON</t>
  </si>
  <si>
    <t>1748 S MOLE STREET</t>
  </si>
  <si>
    <t>ZR236 - NOTICE GIVEN UNDER RULE 236: NOTICE GIVEN ON 09-OCT-2014 OF ORDER ENTERED - FINAL DISPOS ENTERED ON 06-OCT-2014.</t>
  </si>
  <si>
    <t>2021-05-21 12:01:00</t>
  </si>
  <si>
    <t>41 BROWN, LLC VS LKM HOLDINGS ETAL</t>
  </si>
  <si>
    <t>LKM HOLDINGS</t>
  </si>
  <si>
    <t>4009-11 PARRISH STREET</t>
  </si>
  <si>
    <t>062059300</t>
  </si>
  <si>
    <t>FEEPD - FEE PD PURSUANT TO ORDER: CHECK #9941 IN THE AMOUNT OF $2,400.00 WAS RELEASED TO 41 BROWN LLC PER ORDER DATED 11/15/2023, BUTCHART, J.</t>
  </si>
  <si>
    <t>2019-12-06 11:51:00</t>
  </si>
  <si>
    <t>BOWEN, SEDRICK; JONES, MICHELLE T</t>
  </si>
  <si>
    <t>DEAN, CHRISTOPHER W</t>
  </si>
  <si>
    <t>2354 TURNER STREET</t>
  </si>
  <si>
    <t>MAILR - RETURNED MAIL RECEIVED: RETURNED MAIL ORDER DATED 05/20/21 AS UNDELIVERABLE AT THE ADDRESS ON FILE WITH THE COURT TO THE FOLLOWING PARTY: PHILADELPHIA TRAFFIC COURT.</t>
  </si>
  <si>
    <t>2022-01-19 15:14:00</t>
  </si>
  <si>
    <t>SCIOLI TURCO, INC. VS CAMPBELL ETAL</t>
  </si>
  <si>
    <t>ALL UNKNOWN HEIRS; CAMPBELL, WARREN</t>
  </si>
  <si>
    <t>6703-6703R N 11TH STREET</t>
  </si>
  <si>
    <t>MAILR - RETURNED MAIL RECEIVED: RETURN MAIL ORDER DATED 21-DEC-2023 AS UNDELIVERABLE AT THE ADDRESS ON FILE WITH THE COURT TO THE FOLLOWING PARTY: WILLIAM THOMAS</t>
  </si>
  <si>
    <t>2023-03-23 11:41:00</t>
  </si>
  <si>
    <t>SCIOLI TURCO, INC. VS COX ETAL</t>
  </si>
  <si>
    <t>COX, ELIZABETH; COX, WILLIAM A; UNKNOWN HEIRS OF</t>
  </si>
  <si>
    <t>3712 BARING STREET</t>
  </si>
  <si>
    <t>2018-06-14 11:21:00</t>
  </si>
  <si>
    <t>MACK ADMINISTRATOR, STEVEN; MACK, BEVERLY; UNKNOWN HEIRS OF SUSIE MACK</t>
  </si>
  <si>
    <t>2409 W THOMPSON STREET</t>
  </si>
  <si>
    <t>M0378 - CORRECTION TO JUDGMENT INDEX: CORRECTION TO LOCALITY INDEX: LIS PENDENS VACATED PURSUANT TO COURT ORDER DATED 02/15/2019. INDEX UPDATED ON 02/19/2019</t>
  </si>
  <si>
    <t>2022-01-31 17:21:00</t>
  </si>
  <si>
    <t>LEE, BRENDA HELENA; UNKNOWN HEIRS OF BRENDA HELENA LEE</t>
  </si>
  <si>
    <t>2157 N PERCY STREET</t>
  </si>
  <si>
    <t>2014-11-05 13:28:00</t>
  </si>
  <si>
    <t>ISLAM VS RHANEY</t>
  </si>
  <si>
    <t>ISLAM, MU'MIN</t>
  </si>
  <si>
    <t>1938 E 68TH AVENUE</t>
  </si>
  <si>
    <t>ZR236 - NOTICE GIVEN UNDER RULE 236: NOTICE GIVEN ON 19-NOV-2014 OF ORDER ENTERED - FINAL DISPOS ENTERED ON 17-NOV-2014.</t>
  </si>
  <si>
    <t>2014-06-13 17:59:00</t>
  </si>
  <si>
    <t>AUERBACH, DANIEL J; MARTIN, MARY-KATE</t>
  </si>
  <si>
    <t>1526 RIDGE AVENUE</t>
  </si>
  <si>
    <t>2018-06-07 15:56:00</t>
  </si>
  <si>
    <t>DAWN PRESBERY ADMINISTRATRIX OF THE ESTATE OF NORMAN JOHNSON; JOHNSON ESTATE OF, NORMAN</t>
  </si>
  <si>
    <t>ATSNF - ATTEMPTED SERVICE - NOT FOUND: DAWN PRESBERY ADMINISTRATRIX OF THE ESTATE OF NORMAN JOHNSON NOT FOUND ON 09/18/2018.</t>
  </si>
  <si>
    <t>2016-04-11 16:13:00</t>
  </si>
  <si>
    <t xml:space="preserve">SCIOLI TURCO, INC. VS RENEE A. BOWEN, ADMX OF THE </t>
  </si>
  <si>
    <t>BOWEN, EVELYN E; RENEE A. BOWEN, ADMX OF THE ESTATE OF HAROLD C. BOWEN; RODRIGUEZ RAMOS, RAMON ANTONIIO</t>
  </si>
  <si>
    <t>LEON, MIGUEL A</t>
  </si>
  <si>
    <t>7144 HEGERMAN ST</t>
  </si>
  <si>
    <t>LISPR - RELEASE OF LIS PENDENS FILED: PRAECIPE TO RELEASE LIS PENDENS AS TO PREMISES 7144 HEGERMAN STREET, PHILADELPHIA FILED. (FILED ON BEHALF OF SCIOLI TURCO, INC.)</t>
  </si>
  <si>
    <t>2018-04-16 17:08:00</t>
  </si>
  <si>
    <t>UNKNOWN HEIRS OF CORRINE POWELL</t>
  </si>
  <si>
    <t>2129 SEYBERT STREET</t>
  </si>
  <si>
    <t>2018-03-28 16:38:00</t>
  </si>
  <si>
    <t>PA NEIGHBORHOOD DEVELOPMENT PARTNERSHIP VS SMITH</t>
  </si>
  <si>
    <t>1215 N 28TH STREET</t>
  </si>
  <si>
    <t>2017-12-22 11:35:00</t>
  </si>
  <si>
    <t>MOLINERO AND ANTHONY MOLINERO CO-PARTNERS, MARY; UNKNOWN HEIRS OF ANTHONY MOLINERO JR; UNKNOWN HEIRS OF MARY MOLINERO</t>
  </si>
  <si>
    <t>LIPUMA, MICHAEL D</t>
  </si>
  <si>
    <t>1163 S 12TH STREET</t>
  </si>
  <si>
    <t>021589400</t>
  </si>
  <si>
    <t>MAILR - RETURNED MAIL RECEIVED: RETURNED MAIL ORDER DATED 02/27/19 AS UNDELIVERABLE AT THE ADDRESS ON FILE WITH THE COURT TO THE FOLLOWING PARTY: ANTHONY MALINERO.</t>
  </si>
  <si>
    <t>SCIOLI TURCO, INC. VS PRIOLEAU ETAL</t>
  </si>
  <si>
    <t>BURNS, ISIAH N; PRIOLEAU, DENISE; PRIOLEAU, RASHEED F</t>
  </si>
  <si>
    <t>3206 W PEARL STREET</t>
  </si>
  <si>
    <t>APORA - ORDER AFFIRMED BY APPELLATE CT: 422 EDA 2018
ACCORDINGLY, WE AFFIRMED.
JUDGMENT ENTERED.</t>
  </si>
  <si>
    <t>2012-06-06 16:52:00</t>
  </si>
  <si>
    <t>RAZA VS DOFFNEY ETAL</t>
  </si>
  <si>
    <t>DOFFNEY, RICHARD</t>
  </si>
  <si>
    <t>2030 REED STREET</t>
  </si>
  <si>
    <t>ZR236 - NOTICE GIVEN UNDER RULE 236: NOTICE GIVEN ON 23-OCT-2012 OF ORDER ENTERED/236 NOTICE GIVEN ENTERED ON 22-OCT-2012.</t>
  </si>
  <si>
    <t>2018-03-23 15:53:00</t>
  </si>
  <si>
    <t>GREENE STREET FRIENDS SCHOOL VS BATEMAN ETAL</t>
  </si>
  <si>
    <t>GREENE STREET FRIENDS SCHOOL</t>
  </si>
  <si>
    <t>CAMERON 316, ROGER P; DEFEO, MARISA R</t>
  </si>
  <si>
    <t>BATEMAN, MARGARET DOROTHY; BATEMAN, MARIA RAPHAELA; BATEMAN, MATTHEW HAROLD; BATEMAN, MAURICE WILLIAM; BATEMAN, MICHAEL PETER</t>
  </si>
  <si>
    <t>BARTH ESQ, ALEXANDER F; BOTTENFIELD, ANTHONY M; KEENHEEL, MARK S</t>
  </si>
  <si>
    <t>55 W SCHOOL HOUSE LANE</t>
  </si>
  <si>
    <t>WTAPO - WITHDRAWAL OF APPEARANCE: WITHDRAWAL OF APPEARANCE OF ROGER P. CAMERON FILED. (FILED ON BEHALF OF GREENE STREET FRIENDS SCHOOL)</t>
  </si>
  <si>
    <t>2017-05-15 10:51:00</t>
  </si>
  <si>
    <t>BLESSING REAL ESTATE &amp; MANAGEMENT LLC</t>
  </si>
  <si>
    <t>1516-18 N MARSTON STREET</t>
  </si>
  <si>
    <t>ATSNF - ATTEMPTED SERVICE - NOT FOUND: JAMES KENT NOT FOUND ON 07/12/2017.</t>
  </si>
  <si>
    <t>2017-11-06 18:43:00</t>
  </si>
  <si>
    <t>SELECT NEIGHBORHOODS, INC. VS JOYCE ETAL</t>
  </si>
  <si>
    <t>JOYCE JR., JOHN F</t>
  </si>
  <si>
    <t>2818-20 BELGRADE STREET</t>
  </si>
  <si>
    <t>ZR236 - NOTICE GIVEN UNDER RULE 236: NOTICE GIVEN ON 24-AUG-2020 OF ORDER ENTERED - FINAL DISPOS ENTERED ON 18-AUG-2020.</t>
  </si>
  <si>
    <t>2022-01-26 18:00:00</t>
  </si>
  <si>
    <t xml:space="preserve">COMMONWEALTH PRESERVATION ALLIANCE INC. VS CZAPLA </t>
  </si>
  <si>
    <t>CZAPLA, MARIUSZ</t>
  </si>
  <si>
    <t>2652-54 BRIDGE STREET</t>
  </si>
  <si>
    <t>MAILR - RETURNED MAIL RECEIVED: RETURNED MAIL ORDER DATED 04/28/22 AS UNDELIVERABLE AT THE ADDRESS ON FILE WITH THE COURT TO THE FOLLOWING PARTY: MARIUSZ CZAPLA.</t>
  </si>
  <si>
    <t>2019-10-15 09:53:00</t>
  </si>
  <si>
    <t>FOUNDATION DEVELOPERS LLC</t>
  </si>
  <si>
    <t>2245 TITAN STREET</t>
  </si>
  <si>
    <t>2012-04-04 12:22:00</t>
  </si>
  <si>
    <t>THE GERMANTOWN CONSERVANCY, INC. VS JP MORGAN CHAS</t>
  </si>
  <si>
    <t>KOHART, MARY E; WOLFE, J MATTHEW</t>
  </si>
  <si>
    <t>FEDERAL HOME LOAN MORTGAGE CORPORATION; JP MORGAN CHASE &amp; COMPANY</t>
  </si>
  <si>
    <t>ZR236 - NOTICE GIVEN UNDER RULE 236: NOTICE GIVEN ON 10-JAN-2013 OF ORDER ENTERED - FINAL DISPOS ENTERED ON 10-JAN-2013.</t>
  </si>
  <si>
    <t>2016-03-08 16:53:00</t>
  </si>
  <si>
    <t>SCIOLI TURCO, INC. VS SANCHEZ ETAL</t>
  </si>
  <si>
    <t>DUBROFF, ALLEN B; RUSHIE, A JORDAN; SLEPNER, ISAAC F</t>
  </si>
  <si>
    <t>323, 325, 327 W GIRARD AVE</t>
  </si>
  <si>
    <t>ORDRF - ORDER ENTERED - FINAL DISPOS: 78-19012978 PURSUANT TO THE AGREEMENT REACHED BY AND BETWEEN THE PARTIES AND THE BLIGHTED CONDITIONS HAVING BEEN REMEDIATED, IT IS HEREBY ORDERED AND DECREED THAT THE PETITIONER'S FEE AS ALLOWED UNDER ACT 135 IS $15,000.00.  SAID AMOUNT SHALL BE PAID BY CARLOS SANCHEZ TO SCIOLI TURCO WITHIN FORTY-FIVE (45) DAYS OF MAY 22, 2019.  THIS IS A FINAL ORDER AND THIS MATTER IS NOW FULLY RESOLVED.   ...BY THE COURT; FOX, J. 6-14-19</t>
  </si>
  <si>
    <t>2023-06-23 16:22:00</t>
  </si>
  <si>
    <t>PHILADELPHIA COMMUNITY GROWTH, INC VS DANIELS ETAL</t>
  </si>
  <si>
    <t>DANIELS, JALEEL S.</t>
  </si>
  <si>
    <t>223 APSLEY STREET</t>
  </si>
  <si>
    <t>LISPN - LIS PENDENS FILED: CERTIFICATION THAT THIS ACTION INVOLVES TITLE TO REAL ESTATE. PRAECIPE TO INDEX LIS PENDENS AS TO PREMISES 223 APSLEY STREET, PHILADELPHIA.</t>
  </si>
  <si>
    <t>2023-10-06 14:48:00</t>
  </si>
  <si>
    <t>BROOKSIDE ELITE VILLAS LLC</t>
  </si>
  <si>
    <t>758-764 BROOKLYN STREET</t>
  </si>
  <si>
    <t>061271900</t>
  </si>
  <si>
    <t>M0462 - LISTED-STAT CONF CONSERVATOR: 94-23101594 - THE INITIAL STATUS HEARING IS SCHEDULED FOR FRIDAY, DECEMBER 15, 2023 AT 11:30 A.M.</t>
  </si>
  <si>
    <t>2017-05-11 11:56:00</t>
  </si>
  <si>
    <t>JPA HOLDINGS LLC  VS PUGH ETAL</t>
  </si>
  <si>
    <t>ZR236 - NOTICE GIVEN UNDER RULE 236: NOTICE GIVEN ON 28-NOV-2017 OF ORDER ENTERED - FINAL DISPOS ENTERED ON 17-NOV-2017.</t>
  </si>
  <si>
    <t>2014-07-30 21:07:00</t>
  </si>
  <si>
    <t>JOSHUA VS SIMMONS ETAL</t>
  </si>
  <si>
    <t>JOSHUA, MATHEW E</t>
  </si>
  <si>
    <t>SIMMONS, JAMES E</t>
  </si>
  <si>
    <t>ZR236 - NOTICE GIVEN UNDER RULE 236: NOTICE GIVEN ON 09-JAN-2015 OF ORDER ENTERED - FINAL DISPOS ENTERED ON 09-JAN-2015.</t>
  </si>
  <si>
    <t>2023-06-27 11:12:00</t>
  </si>
  <si>
    <t>WOODARD, NOVENIA</t>
  </si>
  <si>
    <t>1640 WHARTON STREET</t>
  </si>
  <si>
    <t>LISPN - LIS PENDENS FILED: CERTIFICATION THAT THIS ACTION INVOLVES TITLE TO REAL ESTATE. PRAECIPE TO INDEX LIS PENDENS AS TO PREMISES 1640 WHARTON STREET, PHILADELPHIA.</t>
  </si>
  <si>
    <t>2015-01-08 15:11:00</t>
  </si>
  <si>
    <t>KING VS CITY OF PHILADELPHIA</t>
  </si>
  <si>
    <t>KING, TONY DPHAX</t>
  </si>
  <si>
    <t>KUZMA, LESIA C</t>
  </si>
  <si>
    <t>1418 S GRAYS FERRY AVENUE</t>
  </si>
  <si>
    <t>ZR236 - NOTICE GIVEN UNDER RULE 236: NOTICE GIVEN ON 24-APR-2015 OF ORDER ENTERED - FINAL DISPOS ENTERED ON 15-APR-2015.</t>
  </si>
  <si>
    <t>2023-09-28 17:42:00</t>
  </si>
  <si>
    <t>PHILADELPHIA COMMUNITY GROWTH, INC VS ORSINI ETAL</t>
  </si>
  <si>
    <t>ORSINI, LUCIANO G</t>
  </si>
  <si>
    <t>915 SHUNK STREET</t>
  </si>
  <si>
    <t>LISPN - LIS PENDENS FILED: CERTIFICATION THAT THIS ACTION INVOLVES TITLE TO REAL ESTATE. PRAECIPE TO INDEX LIS PENDENS AS TO PREMISES 915 SHUNK STREET, PHILADELPHIA.</t>
  </si>
  <si>
    <t>2017-09-05 12:42:00</t>
  </si>
  <si>
    <t>2513-17 N 02ND STREET</t>
  </si>
  <si>
    <t>2012-06-17 12:50:00</t>
  </si>
  <si>
    <t>BRIDESBURG COMMUNITY DEVELOPMENT CORPORATION VS BR</t>
  </si>
  <si>
    <t>BRADLEY, KATHLEEN</t>
  </si>
  <si>
    <t>4729-31 RICHMOND STREET</t>
  </si>
  <si>
    <t>WSPTJ - SETTLED PRIOR TO ASSGN TRL JUD: THE COURT HAVING BEEN ADVISED THAT THE WITHIN CASE HAS BEEN SETTLED, THE CASE SHALL BE MARKED "DISCONTINUED" ON THE PROTHONOTARY'S DOCKET AND REMOVED FROM THE APPLICABLE LIST AND INVENTORY OF PENDING CASES.  IF THE INSTANT PROCEEDINGS INVOLVE AN APPEAL FROM A COMPULSORY ARBITRATION AWARD, ANY LIEN FROM THE ARBITRATION AWARD IS RELEASED. THIS CASE MAY BE RESTORED TO THE TRIAL LIST ONLY UPON WRITTEN ORDER OF THE TEAM/PROGRAM LEADER.  THIS RELIEF SHALL BE REQUESTED BY FORMAL MOTION.  IT IS FURTHER ORDERED AND DECREED THAT IN THE FOLLOWING TYPES OF CASES ADDITIONAL STEPS MUST BE TAKEN TO OFFICIALLY CONCLUDE THE CASE: MINOR'S COMPROMISES, INCOMPETENT/INCAPACITATED PERSON'S COMPROMISES, WRONGFUL DEATH/SURVIVAL ACTIONS (SEE PA. R.C.P. 2039,2064,2206, PHILA CIV. R. NO.2039.1, 2206, AND JOINT GENERAL COURT REGULATION 97-1) AND JOINDER (SEE PA. R.C.P. 2231).  ...BY THE COURT:  HON. ALLAN L. TERESHKO,   10-5-2012.</t>
  </si>
  <si>
    <t>2023-05-09 12:47:00</t>
  </si>
  <si>
    <t>1230 N DOVER</t>
  </si>
  <si>
    <t>LISPN - LIS PENDENS FILED: CERTIFICATION THAT THIS ACTION INVOLVES TITLE TO REAL ESTATE. PRAECIPE TO INDEX LIS PENDENS AS TO PREMISES 1230 N DOVER, PHILADELPHIA.</t>
  </si>
  <si>
    <t>2023-11-17 14:42:00</t>
  </si>
  <si>
    <t>WILLIAMS VS C EST MOI REAL ESTATE LLC ETAL</t>
  </si>
  <si>
    <t>C EST MOI REAL ESTATE LLC</t>
  </si>
  <si>
    <t>711 N SHEDWICK STREET</t>
  </si>
  <si>
    <t>MTASN - MOTION ASSIGNED: 27-23114327 PET-APPT CONSERVATOR-ACT 135 ASSIGNED TO JUDGE: JUDGE, CONSERVATORSHIP . ON DATE: NOVEMBER 20, 2023</t>
  </si>
  <si>
    <t>2022-11-30 12:10:00</t>
  </si>
  <si>
    <t>MAILR - RETURNED MAIL RECEIVED: RETURNED MAIL ORDER DATED 09/21/2023 AS UNDELIVERABLE AT THE ADDRESS ON FILE WITH THE COURT TO THE FOLLOWING PARTY: SECOND NATIONAL FUND CORP.</t>
  </si>
  <si>
    <t>2022-08-03 16:09:00</t>
  </si>
  <si>
    <t>2013 FEDERAL STREET</t>
  </si>
  <si>
    <t>M0444 - LISTED-HRNG CONSERVATOR ACT</t>
  </si>
  <si>
    <t>2022-12-02 11:45:00</t>
  </si>
  <si>
    <t>PHILADELPHIA COMMUNITY GROWTH, INC VS ROMEO ETAL</t>
  </si>
  <si>
    <t>ROMEO, JAMES; UNKNOWN HEIRS OF JOSEPH V ROMEO</t>
  </si>
  <si>
    <t>1939 MCKEAN</t>
  </si>
  <si>
    <t>2017-02-02 17:46:00</t>
  </si>
  <si>
    <t>5TH STREET HOLDINGS LLC VS MACK ETAL</t>
  </si>
  <si>
    <t>5TH STREET HOLDINGS LLC</t>
  </si>
  <si>
    <t>MACK, QUAN THUYEN</t>
  </si>
  <si>
    <t>PEARL, JAMES L</t>
  </si>
  <si>
    <t>1313 S 23RD STREET</t>
  </si>
  <si>
    <t>LISPR - RELEASE OF LIS PENDENS FILED: PRAECIPE TO RELEASE LIS PENDENS AS TO PREMISES 1313 S 23RD STREET, PHILADELPHIA FILED. (FILED ON BEHALF OF 5TH STREET HOLDINGS LLC)</t>
  </si>
  <si>
    <t>2020-02-13 17:03:00</t>
  </si>
  <si>
    <t>GLOBAL GIVINGS DEVELOPMENT CORPORATION VS HARRIS E</t>
  </si>
  <si>
    <t>HARRIS, BERNESTINE</t>
  </si>
  <si>
    <t>1932 MOORE STREET</t>
  </si>
  <si>
    <t>LISPR - RELEASE OF LIS PENDENS FILED: PRAECIPE TO RELEASE LIS PENDENS AS TO PREMISES 1932 MOORE STREET, PHILADELPHIA FILED. (FILED ON BEHALF OF GLOBAL GIVINGS DEVELOPMENT CORPORATION)</t>
  </si>
  <si>
    <t>2014-11-12 22:50:00</t>
  </si>
  <si>
    <t>RECLAIM PHILADELPHIA, INC. VS NAZLOU  ETAL</t>
  </si>
  <si>
    <t>RECLAIM PHILADELPHIA INC</t>
  </si>
  <si>
    <t>NAZLOU, FARROKH S</t>
  </si>
  <si>
    <t>1629 WALLACE</t>
  </si>
  <si>
    <t>ZRDSC - PRAECIPE TO DISCONTINUE: SEE PETITION WITHDRAWN FILED ON 1/22/15.</t>
  </si>
  <si>
    <t>2015-04-24 09:06:00</t>
  </si>
  <si>
    <t>SCIOLI TURCO, INC. VS ACORN HOLDING COMPANY C/O ED</t>
  </si>
  <si>
    <t>ACORN HOLDING COMPANY C/O EDWARD JARASZ</t>
  </si>
  <si>
    <t>4545 EAST THOMPSON STREET</t>
  </si>
  <si>
    <t>LISPR - RELEASE OF LIS PENDENS FILED: PRAECIPE TO RELEASE LIS PENDENS AS TO PREMISES 4545 E THOMPSON STREET, PHILADELPHIA FILED. (FILED ON BEHALF OF SCIOLI TURCO, INC.)</t>
  </si>
  <si>
    <t>2014-07-09 12:49:00</t>
  </si>
  <si>
    <t>MARTIN, MARY-KATE; PERRY, ROGER F</t>
  </si>
  <si>
    <t>1432 GERMANTOWN AVENUE</t>
  </si>
  <si>
    <t>LISPR - RELEASE OF LIS PENDENS FILED: PRAECIPE TO RELEASE LIS PENDENS AS TO PREMISES 1432 GERMANTOWN AVENUE, PHILADELPHIA FILED. (FILED ON BEHALF OF 1436-44 GERMANTOWN AVENUE ASSOCIATES, L.L.C.)</t>
  </si>
  <si>
    <t>2022-12-06 12:57:00</t>
  </si>
  <si>
    <t>MT AIRY CDC VS ESTATE OF DEBORAH J. GOODE ETAL</t>
  </si>
  <si>
    <t>MT AIRY CDC</t>
  </si>
  <si>
    <t>GOODE ESTATE OF, DEBORAH J; GOODE, JOHN</t>
  </si>
  <si>
    <t>KUESTNER ESQ, DENISE A</t>
  </si>
  <si>
    <t>428 E HAINES STREET</t>
  </si>
  <si>
    <t>MAILR - RETURNED MAIL RECEIVED: RETURNED MAIL ORDER DATED 06/14/23 AS UNDELIVERABLE AT THE ADDRESS ON FILE WITH THE COURT TO THE FOLLOWING PARTY: LOGAN CONSUMER DISCOUNT COMPANY.</t>
  </si>
  <si>
    <t>2022-07-05 14:39:00</t>
  </si>
  <si>
    <t>1918 N DARIEN STREET</t>
  </si>
  <si>
    <t>ZR236 - NOTICE GIVEN UNDER RULE 236: NOTICE GIVEN ON 15-JUN-2023 OF ORDER ENTERED - FINAL DISPOS ENTERED ON 14-JUN-2023.</t>
  </si>
  <si>
    <t>2017-12-19 13:49:00</t>
  </si>
  <si>
    <t>M0378 - CORRECTION TO JUDGMENT INDEX: CORRECTION TO LOCALITY INDEX: LIS PENDENS VACATED PURSUANT TO COURT ORDER DATED 11/05/2018. INDEX UPDATED ON 11/14/2018</t>
  </si>
  <si>
    <t>2016-08-08 18:32:00</t>
  </si>
  <si>
    <t>MT. AIRY USA VS METAL GREEN, INC.</t>
  </si>
  <si>
    <t>METAL GREEN INC</t>
  </si>
  <si>
    <t>6800 QUINCY STREET</t>
  </si>
  <si>
    <t>ZR236 - NOTICE GIVEN UNDER RULE 236: NOTICE GIVEN ON 24-OCT-2018 OF ORDER ENTERED/236 NOTICE GIVEN ENTERED ON 23-OCT-2018.</t>
  </si>
  <si>
    <t>2014-01-03 21:07:00</t>
  </si>
  <si>
    <t>JENNIFER VS BROWN ETAL</t>
  </si>
  <si>
    <t>JENNIFER, HOPE</t>
  </si>
  <si>
    <t>BROWN, PRESTON</t>
  </si>
  <si>
    <t>2025 W FITZWATER STREET</t>
  </si>
  <si>
    <t>ZRDSC - PRAECIPE TO DISCONTINUE: ORDER TO DISCONTINUE WITHOUT PREJUDICE FILED. (FILED ON BEHALF OF HOPE JENNIFER)</t>
  </si>
  <si>
    <t>2015-10-08 14:33:00</t>
  </si>
  <si>
    <t>GBEMUDU, CHRISTOPHER</t>
  </si>
  <si>
    <t>CRAWFORD, THOMAS F</t>
  </si>
  <si>
    <t>1511 CAMBRIDGE STREET</t>
  </si>
  <si>
    <t>LISPR - RELEASE OF LIS PENDENS FILED: PRAECIPE TO RELEASE LIS PENDENS AS TO PREMISES 1511 CAMBRIDGE STREET, PHILADELPHIA FILED. (FILED ON BEHALF OF FRANCISVILLE NEIGHBORHOOD DEVELOPMENT CORPORATION)</t>
  </si>
  <si>
    <t>2015-04-02 11:36:00</t>
  </si>
  <si>
    <t>CHAMPAGNE VS ESTATE OF MARGARET SCHULER</t>
  </si>
  <si>
    <t>SCHULER ESTATE OF, MARGARET</t>
  </si>
  <si>
    <t>KOELSCH 273, YEKATERINA; MURPHY, KEVIN J</t>
  </si>
  <si>
    <t>1825 OLIVE STREET</t>
  </si>
  <si>
    <t>PRSDE - PRAEC/SETTLE DISCONTINUE END: SETTLED VIA S D &amp; E PRAECIPE FILED. (FILED ON BEHALF OF DAVID CHAMPAGNE)</t>
  </si>
  <si>
    <t>SING_RESP</t>
  </si>
  <si>
    <t>BOMZE, ARNOLD</t>
  </si>
  <si>
    <t>CATINZZO, JAMES</t>
  </si>
  <si>
    <t>BUSCEMI, CATHY</t>
  </si>
  <si>
    <t>KALEMKERIAN, LEON</t>
  </si>
  <si>
    <t>ALLEN, HAZEL</t>
  </si>
  <si>
    <t>ROULHAC, JOSEPH</t>
  </si>
  <si>
    <t>MCCROSSON, JAMES F</t>
  </si>
  <si>
    <t>CLAIBORNE, GEORGE</t>
  </si>
  <si>
    <t>KUROPAS, HEDWIG</t>
  </si>
  <si>
    <t>HOWARD, DASHANDA</t>
  </si>
  <si>
    <t>KERAK, ANNA</t>
  </si>
  <si>
    <t>CARAFA, JOSEPHINE</t>
  </si>
  <si>
    <t>HAZEL, BEULAH</t>
  </si>
  <si>
    <t>SAMMONS, EMERY M</t>
  </si>
  <si>
    <t>CALISTO, JOAN</t>
  </si>
  <si>
    <t>INGLETON, TAMIKA</t>
  </si>
  <si>
    <t>BROWN, TRACEY STEVEN</t>
  </si>
  <si>
    <t>ERVIN, HALIMA</t>
  </si>
  <si>
    <t>POLIDARO, MADDALENA</t>
  </si>
  <si>
    <t>DALTO, LOUIS</t>
  </si>
  <si>
    <t>ROBERSON, ALICE</t>
  </si>
  <si>
    <t>OMALLEY, MARTHA</t>
  </si>
  <si>
    <t>WILLIAMS, LILLIAN</t>
  </si>
  <si>
    <t>HOLIDAY, MARY</t>
  </si>
  <si>
    <t>DEL RIO, JUANITA</t>
  </si>
  <si>
    <t>MANZANO, SAMUEL</t>
  </si>
  <si>
    <t>MCKENZIE, MARLA</t>
  </si>
  <si>
    <t>POMROY, EDWARD</t>
  </si>
  <si>
    <t>PEARO,ROBERTA</t>
  </si>
  <si>
    <t>MAGGINIS, ELIZABETH</t>
  </si>
  <si>
    <t>MERKE, MARGARET</t>
  </si>
  <si>
    <t>ANDERSON, COLVILLE</t>
  </si>
  <si>
    <t>HARRIS, SAMUEL</t>
  </si>
  <si>
    <t>MEYER, GEORGE</t>
  </si>
  <si>
    <t>AUSTIN, BRUNETTE</t>
  </si>
  <si>
    <t>DRAIN, HATTIE</t>
  </si>
  <si>
    <t>DESANTIS, JOHN</t>
  </si>
  <si>
    <t>FUREY, NORA</t>
  </si>
  <si>
    <t>ROBERSON, DOUGLAS</t>
  </si>
  <si>
    <t>HOGAN, THELMA</t>
  </si>
  <si>
    <t>ABRAMS, WILLIE</t>
  </si>
  <si>
    <t>OUTLOW, BUFUS</t>
  </si>
  <si>
    <t>WHITE, HADDIE</t>
  </si>
  <si>
    <t>ABRAMS, ROBERT</t>
  </si>
  <si>
    <t>MOORE, DENNITA</t>
  </si>
  <si>
    <t>SCHIMPF, ANNA</t>
  </si>
  <si>
    <t>DUNBAR, MILLIE MAE</t>
  </si>
  <si>
    <t>MILTON, OWEN</t>
  </si>
  <si>
    <t>MEYER, GERGE</t>
  </si>
  <si>
    <t>HOLDEN, MATTIE</t>
  </si>
  <si>
    <t>MALIK, AMIN</t>
  </si>
  <si>
    <t>BAUR, ALBERT</t>
  </si>
  <si>
    <t>HARRILL, PAUL</t>
  </si>
  <si>
    <t>DONAHUE, SCOTT</t>
  </si>
  <si>
    <t>MCCURDY, FRANK</t>
  </si>
  <si>
    <t>COCHETTI, CATHERINE</t>
  </si>
  <si>
    <t>SIEVERS WARNER, ELIESE</t>
  </si>
  <si>
    <t>MCNEIL, LINDA</t>
  </si>
  <si>
    <t>GRAVES, HAZELAN</t>
  </si>
  <si>
    <t>FRYE, MARGARET</t>
  </si>
  <si>
    <t>MOORE, CHARLES</t>
  </si>
  <si>
    <t>GONCALVES, JULIO</t>
  </si>
  <si>
    <t>BARNES, ACEY</t>
  </si>
  <si>
    <t>SUGINT, ELEANOR</t>
  </si>
  <si>
    <t>BOATWRIGHT, ANNIE</t>
  </si>
  <si>
    <t>POWASERYS, WESLEY</t>
  </si>
  <si>
    <t>HORTON, HAROLD</t>
  </si>
  <si>
    <t>FORTE, DARRYL</t>
  </si>
  <si>
    <t>COLMON, WANDA</t>
  </si>
  <si>
    <t>CORNISH, FRANK</t>
  </si>
  <si>
    <t>JONES, THOMAS</t>
  </si>
  <si>
    <t>NGUYEN, DUC HOANG</t>
  </si>
  <si>
    <t>RODRIGUEZ, JOSE</t>
  </si>
  <si>
    <t>HINES, SHIRLEY</t>
  </si>
  <si>
    <t>OCONNELL, ELISABETH</t>
  </si>
  <si>
    <t>TRACY, ANITA</t>
  </si>
  <si>
    <t>ARROW, ARLENE</t>
  </si>
  <si>
    <t>HOWARD, JOHN</t>
  </si>
  <si>
    <t>MARABLE, LAWRENCE</t>
  </si>
  <si>
    <t>ALLEN, BARBARA</t>
  </si>
  <si>
    <t>POLLARD, MYRA</t>
  </si>
  <si>
    <t>RUSH, JAMES</t>
  </si>
  <si>
    <t>INMAN, RODDERICK</t>
  </si>
  <si>
    <t>NAYLOR, HENRY</t>
  </si>
  <si>
    <t>MCPHERSON, SHELIA</t>
  </si>
  <si>
    <t>REXACH, CARLOS</t>
  </si>
  <si>
    <t>ALMIDANI, MARWAH</t>
  </si>
  <si>
    <t>AGEE, ANN</t>
  </si>
  <si>
    <t>GOINS, WINNIFRED</t>
  </si>
  <si>
    <t>PANNELLA, LOUIS</t>
  </si>
  <si>
    <t>WERWINSKI, EDMUND</t>
  </si>
  <si>
    <t>HOLMES, FLOSSIE</t>
  </si>
  <si>
    <t>MONAGHAN, HARRY</t>
  </si>
  <si>
    <t>HANNAH, CHARLES</t>
  </si>
  <si>
    <t>HRYCIW, OLGA</t>
  </si>
  <si>
    <t>VOLKENS, ANGELO</t>
  </si>
  <si>
    <t>JOELL, VICTOR</t>
  </si>
  <si>
    <t>WIXTED, WILLIAM</t>
  </si>
  <si>
    <t>JUNG, DOUGLAS</t>
  </si>
  <si>
    <t>GROSE, GLADYS</t>
  </si>
  <si>
    <t>CLAY, HARROD</t>
  </si>
  <si>
    <t xml:space="preserve">HOLMAN, CLARK </t>
  </si>
  <si>
    <t>RUSSELL, JOHN</t>
  </si>
  <si>
    <t>GREEN, BIANCA</t>
  </si>
  <si>
    <t>NEWTON, CURTIS</t>
  </si>
  <si>
    <t>SAUNDERS, ELIZABETH</t>
  </si>
  <si>
    <t>LOMAX, TONI</t>
  </si>
  <si>
    <t>PIERRON, THOMAS</t>
  </si>
  <si>
    <t>GONZALEZ, BARBARA</t>
  </si>
  <si>
    <t>WELCH, CHARLES</t>
  </si>
  <si>
    <t>MALDONALDO, HECTOR</t>
  </si>
  <si>
    <t>SCOTT, DONALD</t>
  </si>
  <si>
    <t>SHIPMAN, BLANCHE</t>
  </si>
  <si>
    <t>MATTHEWS, KENNETH</t>
  </si>
  <si>
    <t>KALTSIDIS, FILIPPAS</t>
  </si>
  <si>
    <t>DATTS, RICARDO</t>
  </si>
  <si>
    <t>DOMIT, MARIANA</t>
  </si>
  <si>
    <t>SMITH, ADDIE</t>
  </si>
  <si>
    <t>SMITH, DONALD</t>
  </si>
  <si>
    <t>BROWNE, FREDERICK</t>
  </si>
  <si>
    <t>LEE, BERNADINE</t>
  </si>
  <si>
    <t>MILLER, STEVEN</t>
  </si>
  <si>
    <t>VADEN NEWMAN, IRIS</t>
  </si>
  <si>
    <t>HOLLINGER, BARBARA</t>
  </si>
  <si>
    <t>GIUNTA, ANGEL</t>
  </si>
  <si>
    <t>KITTLES, EUGENE</t>
  </si>
  <si>
    <t>WERTHEIMER, LUDWIG</t>
  </si>
  <si>
    <t>LAHNEMAN, IMOGENE</t>
  </si>
  <si>
    <t>DOBSON, EDITH</t>
  </si>
  <si>
    <t>BROWN, ALTA</t>
  </si>
  <si>
    <t>RICHARDSON, BESSIE</t>
  </si>
  <si>
    <t>BAEHR, MARIE</t>
  </si>
  <si>
    <t>WOODSON, RAYMOND</t>
  </si>
  <si>
    <t>KIRBY, YOLONDA</t>
  </si>
  <si>
    <t>POTEAT, MARY</t>
  </si>
  <si>
    <t>MONROE, VERNON</t>
  </si>
  <si>
    <t>BECKETT, EVELYN</t>
  </si>
  <si>
    <t>SANTIAGO, MIGUEL</t>
  </si>
  <si>
    <t>WOODS, ELLE</t>
  </si>
  <si>
    <t>JONES, AVANT</t>
  </si>
  <si>
    <t>BOUNASSISI, ALEX</t>
  </si>
  <si>
    <t>JACKSON, BIANA</t>
  </si>
  <si>
    <t>THOMPSON, BRUCE</t>
  </si>
  <si>
    <t>WELLS, LAWRENCE</t>
  </si>
  <si>
    <t>BEALE, HAROLD</t>
  </si>
  <si>
    <t>COBBS, EARLINE</t>
  </si>
  <si>
    <t>CAMPBELL, BRUCE</t>
  </si>
  <si>
    <t>BECKHAM, JOYCE</t>
  </si>
  <si>
    <t>HARRIS, CURLEY</t>
  </si>
  <si>
    <t>TEAGLE, FANNIE</t>
  </si>
  <si>
    <t>BRAUN, BERNADINE</t>
  </si>
  <si>
    <t>MOTEN, RYKEEDA</t>
  </si>
  <si>
    <t>JONES, RUTH</t>
  </si>
  <si>
    <t>WOOD, MARGARET</t>
  </si>
  <si>
    <t>CAMPITELLI, GUIDO</t>
  </si>
  <si>
    <t>BEAL, IRENE</t>
  </si>
  <si>
    <t>FANG, SHYH-RONG</t>
  </si>
  <si>
    <t>RAMSEY, FANNIE</t>
  </si>
  <si>
    <t>TRAN, QUYEN</t>
  </si>
  <si>
    <t>PERALTA, RAMONE</t>
  </si>
  <si>
    <t>BAKER-FANN, KEHINDE</t>
  </si>
  <si>
    <t>DOLEMAN, CHARLES</t>
  </si>
  <si>
    <t>VERNER, AARON</t>
  </si>
  <si>
    <t>WOODARD, THOMAS</t>
  </si>
  <si>
    <t>PEARSON, CAROL</t>
  </si>
  <si>
    <t>DOWD, KERRY</t>
  </si>
  <si>
    <t>ROMAN, CARMEN</t>
  </si>
  <si>
    <t>FRANCIS, JOHANNA</t>
  </si>
  <si>
    <t>WARNER, THEODORE</t>
  </si>
  <si>
    <t>EL, IMMANUEL</t>
  </si>
  <si>
    <t>RANTAZZO, RASARIO</t>
  </si>
  <si>
    <t>KENNEDY, ROBERT</t>
  </si>
  <si>
    <t>ADAMSONS, ARNOLD</t>
  </si>
  <si>
    <t>CASE, ANDREA</t>
  </si>
  <si>
    <t>JACKSON, CHARISSE</t>
  </si>
  <si>
    <t>WILLIAMS, EGLAN</t>
  </si>
  <si>
    <t>RICHARDS, CELESTE</t>
  </si>
  <si>
    <t>COOKE, EDWARD</t>
  </si>
  <si>
    <t>BOMBA, JOHN</t>
  </si>
  <si>
    <t>ADAMS, EDNA</t>
  </si>
  <si>
    <t>CAVE, REDELLA</t>
  </si>
  <si>
    <t>STANLEY, ANN</t>
  </si>
  <si>
    <t>WOODFOLK, MARIA</t>
  </si>
  <si>
    <t>DOAN, QUOC</t>
  </si>
  <si>
    <t>RUFF, VIRGIE</t>
  </si>
  <si>
    <t>HELLER, LAMONT</t>
  </si>
  <si>
    <t>LITES, ANTHONY</t>
  </si>
  <si>
    <t>CRUMMER, LAURA</t>
  </si>
  <si>
    <t>TOOMER, FRANK</t>
  </si>
  <si>
    <t>SCHULER, MARGARET</t>
  </si>
  <si>
    <t>BONK, KURT</t>
  </si>
  <si>
    <t>GOODE, DEBORAH</t>
  </si>
  <si>
    <t>NAZLOU, FARROKH</t>
  </si>
  <si>
    <t>ROMEO, JOSEPH</t>
  </si>
  <si>
    <t>ORSINI, LUCIANO</t>
  </si>
  <si>
    <t>SIMMONS, JAMES</t>
  </si>
  <si>
    <t>PUGH, CAROLYN</t>
  </si>
  <si>
    <t>DANIELS, JALEEL</t>
  </si>
  <si>
    <t>JOYCE, JOHN</t>
  </si>
  <si>
    <t>BATEMAN, MARGARET</t>
  </si>
  <si>
    <t>PRIOLEAU, RASHEED</t>
  </si>
  <si>
    <t>MOLINERO, ANTHONY</t>
  </si>
  <si>
    <t>SMITH, JAMES</t>
  </si>
  <si>
    <t>POWELL, CORRINE</t>
  </si>
  <si>
    <t>BOWEN, HAROLD</t>
  </si>
  <si>
    <t>JOHNSON, NORMAN</t>
  </si>
  <si>
    <t>LEE, BRENDA</t>
  </si>
  <si>
    <t>MACK, SUSIE</t>
  </si>
  <si>
    <t>COX, ELIZABETH</t>
  </si>
  <si>
    <t>CAMPBELL, WARREN</t>
  </si>
  <si>
    <t>BOWEN, SEDRICK</t>
  </si>
  <si>
    <t>CULBREATH, CHARLES</t>
  </si>
  <si>
    <t>MCKEEGAN, THOMAS</t>
  </si>
  <si>
    <t>BONK, JOHN</t>
  </si>
  <si>
    <t>WILLIAMS, ETHEL MAE</t>
  </si>
  <si>
    <t>ALLEN, BERTHA</t>
  </si>
  <si>
    <t>VOLPE, LINDA</t>
  </si>
  <si>
    <t>ODENIYI, ALLEN</t>
  </si>
  <si>
    <t>TRINH, CHAI PHET</t>
  </si>
  <si>
    <t>MOY, TYRIC</t>
  </si>
  <si>
    <t>RIGHTER, JEAN</t>
  </si>
  <si>
    <t>BROWN, CLINTON</t>
  </si>
  <si>
    <t>JACKSON, TRACEY</t>
  </si>
  <si>
    <t>ANDERSON, DOROTHY</t>
  </si>
  <si>
    <t>TILGHMAN, HERLENE</t>
  </si>
  <si>
    <t>VIVEKANANTHAN, ANURA</t>
  </si>
  <si>
    <t>MONAHAN, EMMETT</t>
  </si>
  <si>
    <t>PONE, BRENDA</t>
  </si>
  <si>
    <t>CILIONE, VALERIE</t>
  </si>
  <si>
    <t>RULTENBERG, DONNA</t>
  </si>
  <si>
    <t>TITH, LISA</t>
  </si>
  <si>
    <t>PERSON, CHARLES</t>
  </si>
  <si>
    <t>BETTERSON, LAWRENCE</t>
  </si>
  <si>
    <t>WOMELSDORF, ALBERT</t>
  </si>
  <si>
    <t>XIAOHONG ZHOU, MARILYN</t>
  </si>
  <si>
    <t>DOU DENG, YA</t>
  </si>
  <si>
    <t>LEEPER, BEATRICE</t>
  </si>
  <si>
    <t>HERRING, LONNIE</t>
  </si>
  <si>
    <t>WILLIAMS, CLORINE</t>
  </si>
  <si>
    <t>MANDAN, MICHAEL</t>
  </si>
  <si>
    <t>HOLDEN, COLLIE</t>
  </si>
  <si>
    <t>LOOBY, JAMES</t>
  </si>
  <si>
    <t>RUSSO, ANTHONY</t>
  </si>
  <si>
    <t>DOBBINS, LAURETA</t>
  </si>
  <si>
    <t>PONTON, MARLAND</t>
  </si>
  <si>
    <t>PEREZ, JOHN</t>
  </si>
  <si>
    <t>HATTEN, ADORA</t>
  </si>
  <si>
    <t>PRATER, CHARMAINE</t>
  </si>
  <si>
    <t>FASSETT, BRUCE</t>
  </si>
  <si>
    <t>PASKEY, FRANCES</t>
  </si>
  <si>
    <t>DOUGLAS, ELEANOR</t>
  </si>
  <si>
    <t>LANE, LONNIE</t>
  </si>
  <si>
    <t>LUTZ, GEORGE</t>
  </si>
  <si>
    <t>DUNSTON, ESTHER</t>
  </si>
  <si>
    <t>CALEB, MAE</t>
  </si>
  <si>
    <t>BONETA, CHRISTINE</t>
  </si>
  <si>
    <t>WRIGHT, KEVIN</t>
  </si>
  <si>
    <t>FLITTER, MICHAEL</t>
  </si>
  <si>
    <t>BROWN, CATHERINE</t>
  </si>
  <si>
    <t>POLSELLI, RUDOLPH</t>
  </si>
  <si>
    <t>WAINWRIGHT, RICHARD</t>
  </si>
  <si>
    <t>GOLDEN, ANNA</t>
  </si>
  <si>
    <t>YOUNG, MARK</t>
  </si>
  <si>
    <t>KOHL, DENA</t>
  </si>
  <si>
    <t>WALKER, SHARON</t>
  </si>
  <si>
    <t>SAMMONS, EMERY</t>
  </si>
  <si>
    <t>WILLIAMS, LOUELLA</t>
  </si>
  <si>
    <t>TAGGART, WARREN</t>
  </si>
  <si>
    <t>JONES, SYLVESTER</t>
  </si>
  <si>
    <t>YELVERTON, AARON</t>
  </si>
  <si>
    <t>ISABELLA, TERESA</t>
  </si>
  <si>
    <t>CARLSON, CONSTANCE</t>
  </si>
  <si>
    <t>WILLIAMS, MARSHALL</t>
  </si>
  <si>
    <t>HOLLOMAN, RENEE</t>
  </si>
  <si>
    <t>GIBBY, BRUCE</t>
  </si>
  <si>
    <t>WRIGHT, ERIC</t>
  </si>
  <si>
    <t>FOSTER, MICHELE</t>
  </si>
  <si>
    <t>MCPEAK, JOHN</t>
  </si>
  <si>
    <t>HICKS, SANDA</t>
  </si>
  <si>
    <t>CURRAN, JOAN</t>
  </si>
  <si>
    <t>YOUNG, GEORGE</t>
  </si>
  <si>
    <t>SATIQUE, DANIEL</t>
  </si>
  <si>
    <t>STEWART, LINDA</t>
  </si>
  <si>
    <t>TOLBERT, ROMAINE</t>
  </si>
  <si>
    <t>SIEGERT, JOSEPH</t>
  </si>
  <si>
    <t>TEPPERT, ROBERT</t>
  </si>
  <si>
    <t>WILSON, EBONI</t>
  </si>
  <si>
    <t>ELLIS, EDWARD</t>
  </si>
  <si>
    <t>VOLTAIRE, GARRY</t>
  </si>
  <si>
    <t>THOMAS, JOSEPH</t>
  </si>
  <si>
    <t>YAO, NUNOO</t>
  </si>
  <si>
    <t>FOSTER, BARBARA</t>
  </si>
  <si>
    <t>SAUNDERS, STANLEY</t>
  </si>
  <si>
    <t>SIMMONS, CURTIS</t>
  </si>
  <si>
    <t>GORDON, DAVID</t>
  </si>
  <si>
    <t>ALEXANDER, ROSHONDA</t>
  </si>
  <si>
    <t>IRVING, NICHELLE</t>
  </si>
  <si>
    <t>MILLS, ALBERTA</t>
  </si>
  <si>
    <t>STAPLES, MARTHA</t>
  </si>
  <si>
    <t>WILLIAMS, MICHAEL</t>
  </si>
  <si>
    <t>KEVIN, WRIGHT</t>
  </si>
  <si>
    <t>MCCUEN, MICHAEL</t>
  </si>
  <si>
    <t>DUREN, FANE</t>
  </si>
  <si>
    <t>AMBROSE-CURTIS, MARY</t>
  </si>
  <si>
    <t>DONNELL, TERRI</t>
  </si>
  <si>
    <t>BILES, ANNA</t>
  </si>
  <si>
    <t>NEWMAN, IRIS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</si>
</sst>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AM/PM"/>
  </numFmts>
  <fonts count="2" x14ac:knownFonts="1">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49" fontId="1" fillId="0" borderId="0" xfId="0" applyNumberFormat="1" applyFont="1"/>
    <xf numFmtId="49" fontId="0" fillId="0" borderId="0" xfId="0" applyNumberFormat="1"/>
  </cellXfs>
  <cellStyles count="1">
    <cellStyle name="Normal" xfId="0" builtinId="0"/>
  </cellStyles>
  <dxfs count="1">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ct135cases" displayName="act135cases" ref="A1:L673" totalsRowShown="0">
  <autoFilter ref="A1:L673" xr:uid="{00000000-0009-0000-0100-000001000000}"/>
  <tableColumns count="12">
    <tableColumn id="1" xr3:uid="{00000000-0010-0000-0000-000001000000}" name="dfiled"/>
    <tableColumn id="2" xr3:uid="{00000000-0010-0000-0000-000002000000}" name="docketnum"/>
    <tableColumn id="3" xr3:uid="{00000000-0010-0000-0000-000003000000}" name="caption"/>
    <tableColumn id="4" xr3:uid="{00000000-0010-0000-0000-000004000000}" name="status"/>
    <tableColumn id="5" xr3:uid="{00000000-0010-0000-0000-000005000000}" name="petitioner"/>
    <tableColumn id="6" xr3:uid="{00000000-0010-0000-0000-000006000000}" name="petitioner_atty"/>
    <tableColumn id="12" xr3:uid="{E1E44269-6E95-BF48-8CA6-37A11DF205C3}" name="SING_RESP" dataDxfId="0"/>
    <tableColumn id="7" xr3:uid="{00000000-0010-0000-0000-000007000000}" name="respondent"/>
    <tableColumn id="8" xr3:uid="{00000000-0010-0000-0000-000008000000}" name="respondent_atty"/>
    <tableColumn id="9" xr3:uid="{00000000-0010-0000-0000-000009000000}" name="address"/>
    <tableColumn id="10" xr3:uid="{00000000-0010-0000-0000-00000A000000}" name="opanum"/>
    <tableColumn id="11" xr3:uid="{00000000-0010-0000-0000-00000B000000}" name="dispositio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673"/>
  <sheetViews>
    <sheetView tabSelected="1" topLeftCell="F1" workbookViewId="0">
      <pane ySplit="1" topLeftCell="A358" activePane="bottomLeft" state="frozen"/>
      <selection pane="bottomLeft" activeCell="G377" sqref="G377"/>
    </sheetView>
  </sheetViews>
  <sheetFormatPr baseColWidth="10" defaultColWidth="8.83203125" defaultRowHeight="15" x14ac:dyDescent="0.2"/>
  <cols>
    <col min="1" max="4" width="13.6640625" customWidth="1"/>
    <col min="5" max="5" width="41.5" customWidth="1"/>
    <col min="6" max="6" width="43.1640625" customWidth="1"/>
    <col min="7" max="7" width="33.1640625" customWidth="1"/>
    <col min="8" max="8" width="58.5" customWidth="1"/>
    <col min="9" max="9" width="13.6640625" customWidth="1"/>
    <col min="10" max="10" width="28.1640625" customWidth="1"/>
    <col min="11" max="12" width="13.6640625" customWidth="1"/>
  </cols>
  <sheetData>
    <row r="1" spans="1:12" x14ac:dyDescent="0.2">
      <c r="A1" t="s">
        <v>0</v>
      </c>
      <c r="B1" t="s">
        <v>1</v>
      </c>
      <c r="C1" t="s">
        <v>2</v>
      </c>
      <c r="D1" t="s">
        <v>3</v>
      </c>
      <c r="E1" t="s">
        <v>4</v>
      </c>
      <c r="F1" t="s">
        <v>5</v>
      </c>
      <c r="G1" t="s">
        <v>3596</v>
      </c>
      <c r="H1" t="s">
        <v>6</v>
      </c>
      <c r="I1" t="s">
        <v>7</v>
      </c>
      <c r="J1" t="s">
        <v>8</v>
      </c>
      <c r="K1" t="s">
        <v>9</v>
      </c>
      <c r="L1" t="s">
        <v>10</v>
      </c>
    </row>
    <row r="2" spans="1:12" x14ac:dyDescent="0.2">
      <c r="A2" s="1" t="s">
        <v>11</v>
      </c>
      <c r="B2" s="2" t="str">
        <f>HYPERLINK("https://docket.philalegal.org/cgi-bin/proxy.pl?ct=091003909","091003909")</f>
        <v>091003909</v>
      </c>
      <c r="C2" s="3" t="s">
        <v>12</v>
      </c>
      <c r="D2" s="3" t="s">
        <v>13</v>
      </c>
      <c r="E2" s="3"/>
      <c r="F2" s="3" t="s">
        <v>14</v>
      </c>
      <c r="G2" s="3"/>
      <c r="H2" s="3"/>
      <c r="I2" s="3"/>
      <c r="J2" s="3"/>
      <c r="K2" s="3"/>
      <c r="L2" s="3" t="s">
        <v>15</v>
      </c>
    </row>
    <row r="3" spans="1:12" x14ac:dyDescent="0.2">
      <c r="A3" s="1" t="s">
        <v>16</v>
      </c>
      <c r="B3" s="2" t="str">
        <f>HYPERLINK("https://docket.philalegal.org/cgi-bin/proxy.pl?ct=160202956","160202956")</f>
        <v>160202956</v>
      </c>
      <c r="C3" s="3" t="s">
        <v>17</v>
      </c>
      <c r="D3" s="3" t="s">
        <v>18</v>
      </c>
      <c r="E3" s="3" t="s">
        <v>19</v>
      </c>
      <c r="F3" s="3" t="s">
        <v>20</v>
      </c>
      <c r="G3" s="3" t="s">
        <v>21</v>
      </c>
      <c r="H3" s="3" t="s">
        <v>21</v>
      </c>
      <c r="I3" s="3"/>
      <c r="J3" s="3" t="s">
        <v>22</v>
      </c>
      <c r="K3" s="3">
        <v>302075000</v>
      </c>
      <c r="L3" s="3" t="s">
        <v>23</v>
      </c>
    </row>
    <row r="4" spans="1:12" x14ac:dyDescent="0.2">
      <c r="A4" s="1" t="s">
        <v>24</v>
      </c>
      <c r="B4" s="2" t="str">
        <f>HYPERLINK("https://docket.philalegal.org/cgi-bin/proxy.pl?ct=161202932","161202932")</f>
        <v>161202932</v>
      </c>
      <c r="C4" s="3" t="s">
        <v>25</v>
      </c>
      <c r="D4" s="3" t="s">
        <v>13</v>
      </c>
      <c r="E4" s="3" t="s">
        <v>26</v>
      </c>
      <c r="F4" s="3" t="s">
        <v>27</v>
      </c>
      <c r="G4" s="3" t="s">
        <v>28</v>
      </c>
      <c r="H4" s="3" t="s">
        <v>28</v>
      </c>
      <c r="I4" s="3" t="s">
        <v>29</v>
      </c>
      <c r="J4" s="3" t="s">
        <v>30</v>
      </c>
      <c r="K4" s="3">
        <v>363262300</v>
      </c>
      <c r="L4" s="3" t="s">
        <v>31</v>
      </c>
    </row>
    <row r="5" spans="1:12" x14ac:dyDescent="0.2">
      <c r="A5" s="1" t="s">
        <v>32</v>
      </c>
      <c r="B5" s="2" t="str">
        <f>HYPERLINK("https://docket.philalegal.org/cgi-bin/proxy.pl?ct=210301789","210301789")</f>
        <v>210301789</v>
      </c>
      <c r="C5" s="3" t="s">
        <v>33</v>
      </c>
      <c r="D5" s="3" t="s">
        <v>34</v>
      </c>
      <c r="E5" s="3" t="s">
        <v>35</v>
      </c>
      <c r="F5" s="3" t="s">
        <v>36</v>
      </c>
      <c r="G5" s="3" t="s">
        <v>37</v>
      </c>
      <c r="H5" s="3" t="s">
        <v>37</v>
      </c>
      <c r="I5" s="3" t="s">
        <v>38</v>
      </c>
      <c r="J5" s="3" t="s">
        <v>39</v>
      </c>
      <c r="K5" s="3">
        <v>871116350</v>
      </c>
      <c r="L5" s="3" t="s">
        <v>40</v>
      </c>
    </row>
    <row r="6" spans="1:12" x14ac:dyDescent="0.2">
      <c r="A6" s="1" t="s">
        <v>41</v>
      </c>
      <c r="B6" s="2" t="str">
        <f>HYPERLINK("https://docket.philalegal.org/cgi-bin/proxy.pl?ct=220201258","220201258")</f>
        <v>220201258</v>
      </c>
      <c r="C6" s="3" t="s">
        <v>42</v>
      </c>
      <c r="D6" s="3" t="s">
        <v>13</v>
      </c>
      <c r="E6" s="3" t="s">
        <v>43</v>
      </c>
      <c r="F6" s="3" t="s">
        <v>44</v>
      </c>
      <c r="G6" s="3" t="s">
        <v>45</v>
      </c>
      <c r="H6" s="3" t="s">
        <v>45</v>
      </c>
      <c r="I6" s="3" t="s">
        <v>36</v>
      </c>
      <c r="J6" s="3" t="s">
        <v>46</v>
      </c>
      <c r="K6" s="3" t="s">
        <v>47</v>
      </c>
      <c r="L6" s="3" t="s">
        <v>48</v>
      </c>
    </row>
    <row r="7" spans="1:12" x14ac:dyDescent="0.2">
      <c r="A7" s="1" t="s">
        <v>49</v>
      </c>
      <c r="B7" s="2" t="str">
        <f>HYPERLINK("https://docket.philalegal.org/cgi-bin/proxy.pl?ct=220700096","220700096")</f>
        <v>220700096</v>
      </c>
      <c r="C7" s="3" t="s">
        <v>50</v>
      </c>
      <c r="D7" s="3" t="s">
        <v>13</v>
      </c>
      <c r="E7" s="3" t="s">
        <v>51</v>
      </c>
      <c r="F7" s="3" t="s">
        <v>52</v>
      </c>
      <c r="G7" s="3" t="s">
        <v>3855</v>
      </c>
      <c r="H7" s="3" t="s">
        <v>53</v>
      </c>
      <c r="I7" s="3" t="s">
        <v>54</v>
      </c>
      <c r="J7" s="3" t="s">
        <v>55</v>
      </c>
      <c r="K7" s="3">
        <v>131055100</v>
      </c>
      <c r="L7" s="3" t="s">
        <v>56</v>
      </c>
    </row>
    <row r="8" spans="1:12" x14ac:dyDescent="0.2">
      <c r="A8" s="1" t="s">
        <v>57</v>
      </c>
      <c r="B8" s="2" t="str">
        <f>HYPERLINK("https://docket.philalegal.org/cgi-bin/proxy.pl?ct=221202517","221202517")</f>
        <v>221202517</v>
      </c>
      <c r="C8" s="3" t="s">
        <v>58</v>
      </c>
      <c r="D8" s="3" t="s">
        <v>18</v>
      </c>
      <c r="E8" s="3" t="s">
        <v>59</v>
      </c>
      <c r="F8" s="3"/>
      <c r="G8" s="3" t="s">
        <v>3597</v>
      </c>
      <c r="H8" s="3" t="s">
        <v>60</v>
      </c>
      <c r="I8" s="3"/>
      <c r="J8" s="3"/>
      <c r="K8" s="3"/>
      <c r="L8" s="3" t="s">
        <v>61</v>
      </c>
    </row>
    <row r="9" spans="1:12" x14ac:dyDescent="0.2">
      <c r="A9" s="1" t="s">
        <v>62</v>
      </c>
      <c r="B9" s="2" t="str">
        <f>HYPERLINK("https://docket.philalegal.org/cgi-bin/proxy.pl?ct=111101991","111101991")</f>
        <v>111101991</v>
      </c>
      <c r="C9" s="3" t="s">
        <v>63</v>
      </c>
      <c r="D9" s="3" t="s">
        <v>64</v>
      </c>
      <c r="E9" s="3" t="s">
        <v>65</v>
      </c>
      <c r="F9" s="3" t="s">
        <v>66</v>
      </c>
      <c r="G9" s="3" t="s">
        <v>67</v>
      </c>
      <c r="H9" s="3" t="s">
        <v>67</v>
      </c>
      <c r="I9" s="3" t="s">
        <v>68</v>
      </c>
      <c r="J9" s="3" t="s">
        <v>69</v>
      </c>
      <c r="K9" s="3">
        <v>593066200</v>
      </c>
      <c r="L9" s="3" t="s">
        <v>70</v>
      </c>
    </row>
    <row r="10" spans="1:12" x14ac:dyDescent="0.2">
      <c r="A10" s="1" t="s">
        <v>71</v>
      </c>
      <c r="B10" s="2" t="str">
        <f>HYPERLINK("https://docket.philalegal.org/cgi-bin/proxy.pl?ct=100403834","100403834")</f>
        <v>100403834</v>
      </c>
      <c r="C10" s="3" t="s">
        <v>72</v>
      </c>
      <c r="D10" s="3" t="s">
        <v>13</v>
      </c>
      <c r="E10" s="3" t="s">
        <v>73</v>
      </c>
      <c r="F10" s="3" t="s">
        <v>36</v>
      </c>
      <c r="G10" s="3" t="s">
        <v>3598</v>
      </c>
      <c r="H10" s="3" t="s">
        <v>74</v>
      </c>
      <c r="I10" s="3"/>
      <c r="J10" s="3" t="s">
        <v>75</v>
      </c>
      <c r="K10" s="3">
        <v>771729000</v>
      </c>
      <c r="L10" s="3" t="s">
        <v>76</v>
      </c>
    </row>
    <row r="11" spans="1:12" x14ac:dyDescent="0.2">
      <c r="A11" s="1" t="s">
        <v>77</v>
      </c>
      <c r="B11" s="2" t="str">
        <f>HYPERLINK("https://docket.philalegal.org/cgi-bin/proxy.pl?ct=110804678","110804678")</f>
        <v>110804678</v>
      </c>
      <c r="C11" s="3" t="s">
        <v>78</v>
      </c>
      <c r="D11" s="3" t="s">
        <v>79</v>
      </c>
      <c r="E11" s="3" t="s">
        <v>80</v>
      </c>
      <c r="F11" s="3" t="s">
        <v>36</v>
      </c>
      <c r="G11" s="3" t="s">
        <v>3599</v>
      </c>
      <c r="H11" s="3" t="s">
        <v>81</v>
      </c>
      <c r="I11" s="3" t="s">
        <v>82</v>
      </c>
      <c r="J11" s="3" t="s">
        <v>83</v>
      </c>
      <c r="K11" s="3" t="s">
        <v>84</v>
      </c>
      <c r="L11" s="3" t="s">
        <v>85</v>
      </c>
    </row>
    <row r="12" spans="1:12" x14ac:dyDescent="0.2">
      <c r="A12" s="1" t="s">
        <v>86</v>
      </c>
      <c r="B12" s="2" t="str">
        <f>HYPERLINK("https://docket.philalegal.org/cgi-bin/proxy.pl?ct=110402129","110402129")</f>
        <v>110402129</v>
      </c>
      <c r="C12" s="3" t="s">
        <v>87</v>
      </c>
      <c r="D12" s="3" t="s">
        <v>88</v>
      </c>
      <c r="E12" s="3" t="s">
        <v>89</v>
      </c>
      <c r="F12" s="3" t="s">
        <v>36</v>
      </c>
      <c r="G12" s="3" t="s">
        <v>90</v>
      </c>
      <c r="H12" s="3" t="s">
        <v>90</v>
      </c>
      <c r="I12" s="3"/>
      <c r="J12" s="3" t="s">
        <v>91</v>
      </c>
      <c r="K12" s="3">
        <v>292194300</v>
      </c>
      <c r="L12" s="3" t="s">
        <v>88</v>
      </c>
    </row>
    <row r="13" spans="1:12" x14ac:dyDescent="0.2">
      <c r="A13" s="1" t="s">
        <v>92</v>
      </c>
      <c r="B13" s="2" t="str">
        <f>HYPERLINK("https://docket.philalegal.org/cgi-bin/proxy.pl?ct=120203431","120203431")</f>
        <v>120203431</v>
      </c>
      <c r="C13" s="3" t="s">
        <v>93</v>
      </c>
      <c r="D13" s="3" t="s">
        <v>18</v>
      </c>
      <c r="E13" s="3" t="s">
        <v>94</v>
      </c>
      <c r="F13" s="3" t="s">
        <v>95</v>
      </c>
      <c r="G13" s="3" t="s">
        <v>96</v>
      </c>
      <c r="H13" s="3" t="s">
        <v>96</v>
      </c>
      <c r="I13" s="3" t="s">
        <v>97</v>
      </c>
      <c r="J13" s="3" t="s">
        <v>98</v>
      </c>
      <c r="K13" s="3" t="s">
        <v>99</v>
      </c>
      <c r="L13" s="3" t="s">
        <v>100</v>
      </c>
    </row>
    <row r="14" spans="1:12" x14ac:dyDescent="0.2">
      <c r="A14" s="1" t="s">
        <v>101</v>
      </c>
      <c r="B14" s="2" t="str">
        <f>HYPERLINK("https://docket.philalegal.org/cgi-bin/proxy.pl?ct=120301597","120301597")</f>
        <v>120301597</v>
      </c>
      <c r="C14" s="3" t="s">
        <v>102</v>
      </c>
      <c r="D14" s="3" t="s">
        <v>18</v>
      </c>
      <c r="E14" s="3" t="s">
        <v>103</v>
      </c>
      <c r="F14" s="3" t="s">
        <v>36</v>
      </c>
      <c r="G14" s="3" t="s">
        <v>104</v>
      </c>
      <c r="H14" s="3" t="s">
        <v>104</v>
      </c>
      <c r="I14" s="3"/>
      <c r="J14" s="3" t="s">
        <v>105</v>
      </c>
      <c r="K14" s="3">
        <v>363309350</v>
      </c>
      <c r="L14" s="3" t="s">
        <v>106</v>
      </c>
    </row>
    <row r="15" spans="1:12" x14ac:dyDescent="0.2">
      <c r="A15" s="1" t="s">
        <v>107</v>
      </c>
      <c r="B15" s="2" t="str">
        <f>HYPERLINK("https://docket.philalegal.org/cgi-bin/proxy.pl?ct=100103293","100103293")</f>
        <v>100103293</v>
      </c>
      <c r="C15" s="3" t="s">
        <v>108</v>
      </c>
      <c r="D15" s="3" t="s">
        <v>88</v>
      </c>
      <c r="E15" s="3" t="s">
        <v>109</v>
      </c>
      <c r="F15" s="3" t="s">
        <v>110</v>
      </c>
      <c r="G15" s="3" t="s">
        <v>3600</v>
      </c>
      <c r="H15" s="3" t="s">
        <v>111</v>
      </c>
      <c r="I15" s="3"/>
      <c r="J15" s="3" t="s">
        <v>112</v>
      </c>
      <c r="K15" s="3">
        <v>882924855</v>
      </c>
      <c r="L15" s="3" t="s">
        <v>113</v>
      </c>
    </row>
    <row r="16" spans="1:12" x14ac:dyDescent="0.2">
      <c r="A16" s="1" t="s">
        <v>114</v>
      </c>
      <c r="B16" s="2" t="str">
        <f>HYPERLINK("https://docket.philalegal.org/cgi-bin/proxy.pl?ct=101201105","101201105")</f>
        <v>101201105</v>
      </c>
      <c r="C16" s="3" t="s">
        <v>115</v>
      </c>
      <c r="D16" s="3" t="s">
        <v>64</v>
      </c>
      <c r="E16" s="3" t="s">
        <v>116</v>
      </c>
      <c r="F16" s="3" t="s">
        <v>117</v>
      </c>
      <c r="G16" s="3" t="s">
        <v>118</v>
      </c>
      <c r="H16" s="3" t="s">
        <v>118</v>
      </c>
      <c r="I16" s="3" t="s">
        <v>52</v>
      </c>
      <c r="J16" s="3" t="s">
        <v>119</v>
      </c>
      <c r="K16" s="3">
        <v>321102500</v>
      </c>
      <c r="L16" s="3" t="s">
        <v>120</v>
      </c>
    </row>
    <row r="17" spans="1:12" x14ac:dyDescent="0.2">
      <c r="A17" s="1" t="s">
        <v>121</v>
      </c>
      <c r="B17" s="2" t="str">
        <f>HYPERLINK("https://docket.philalegal.org/cgi-bin/proxy.pl?ct=101200990","101200990")</f>
        <v>101200990</v>
      </c>
      <c r="C17" s="3" t="s">
        <v>122</v>
      </c>
      <c r="D17" s="3" t="s">
        <v>13</v>
      </c>
      <c r="E17" s="3" t="s">
        <v>73</v>
      </c>
      <c r="F17" s="3" t="s">
        <v>36</v>
      </c>
      <c r="G17" s="3"/>
      <c r="H17" s="3" t="s">
        <v>123</v>
      </c>
      <c r="I17" s="3"/>
      <c r="J17" s="3" t="s">
        <v>124</v>
      </c>
      <c r="K17" s="3" t="s">
        <v>125</v>
      </c>
      <c r="L17" s="3" t="s">
        <v>76</v>
      </c>
    </row>
    <row r="18" spans="1:12" x14ac:dyDescent="0.2">
      <c r="A18" s="1" t="s">
        <v>126</v>
      </c>
      <c r="B18" s="2" t="str">
        <f>HYPERLINK("https://docket.philalegal.org/cgi-bin/proxy.pl?ct=100903487","100903487")</f>
        <v>100903487</v>
      </c>
      <c r="C18" s="3" t="s">
        <v>127</v>
      </c>
      <c r="D18" s="3" t="s">
        <v>13</v>
      </c>
      <c r="E18" s="3" t="s">
        <v>128</v>
      </c>
      <c r="F18" s="3" t="s">
        <v>129</v>
      </c>
      <c r="G18" s="3" t="s">
        <v>130</v>
      </c>
      <c r="H18" s="3" t="s">
        <v>130</v>
      </c>
      <c r="I18" s="3" t="s">
        <v>131</v>
      </c>
      <c r="J18" s="3" t="s">
        <v>132</v>
      </c>
      <c r="K18" s="3">
        <v>273004600</v>
      </c>
      <c r="L18" s="3" t="s">
        <v>133</v>
      </c>
    </row>
    <row r="19" spans="1:12" x14ac:dyDescent="0.2">
      <c r="A19" s="1" t="s">
        <v>134</v>
      </c>
      <c r="B19" s="2" t="str">
        <f>HYPERLINK("https://docket.philalegal.org/cgi-bin/proxy.pl?ct=111102292","111102292")</f>
        <v>111102292</v>
      </c>
      <c r="C19" s="3" t="s">
        <v>135</v>
      </c>
      <c r="D19" s="3" t="s">
        <v>13</v>
      </c>
      <c r="E19" s="3" t="s">
        <v>136</v>
      </c>
      <c r="F19" s="3" t="s">
        <v>36</v>
      </c>
      <c r="G19" s="3" t="s">
        <v>137</v>
      </c>
      <c r="H19" s="3" t="s">
        <v>137</v>
      </c>
      <c r="I19" s="3"/>
      <c r="J19" s="3" t="s">
        <v>138</v>
      </c>
      <c r="K19" s="3" t="s">
        <v>139</v>
      </c>
      <c r="L19" s="3" t="s">
        <v>140</v>
      </c>
    </row>
    <row r="20" spans="1:12" x14ac:dyDescent="0.2">
      <c r="A20" s="1" t="s">
        <v>141</v>
      </c>
      <c r="B20" s="2" t="str">
        <f>HYPERLINK("https://docket.philalegal.org/cgi-bin/proxy.pl?ct=100700720","100700720")</f>
        <v>100700720</v>
      </c>
      <c r="C20" s="3" t="s">
        <v>142</v>
      </c>
      <c r="D20" s="3" t="s">
        <v>18</v>
      </c>
      <c r="E20" s="3" t="s">
        <v>94</v>
      </c>
      <c r="F20" s="3" t="s">
        <v>143</v>
      </c>
      <c r="G20" s="3" t="s">
        <v>3856</v>
      </c>
      <c r="H20" s="3" t="s">
        <v>144</v>
      </c>
      <c r="I20" s="3"/>
      <c r="J20" s="3" t="s">
        <v>145</v>
      </c>
      <c r="K20" s="3">
        <v>442352900</v>
      </c>
      <c r="L20" s="3" t="s">
        <v>146</v>
      </c>
    </row>
    <row r="21" spans="1:12" x14ac:dyDescent="0.2">
      <c r="A21" s="1" t="s">
        <v>147</v>
      </c>
      <c r="B21" s="2" t="str">
        <f>HYPERLINK("https://docket.philalegal.org/cgi-bin/proxy.pl?ct=100700664","100700664")</f>
        <v>100700664</v>
      </c>
      <c r="C21" s="3" t="s">
        <v>142</v>
      </c>
      <c r="D21" s="3" t="s">
        <v>18</v>
      </c>
      <c r="E21" s="3" t="s">
        <v>94</v>
      </c>
      <c r="F21" s="3" t="s">
        <v>143</v>
      </c>
      <c r="G21" s="3" t="s">
        <v>3856</v>
      </c>
      <c r="H21" s="3" t="s">
        <v>144</v>
      </c>
      <c r="I21" s="3"/>
      <c r="J21" s="3" t="s">
        <v>148</v>
      </c>
      <c r="K21" s="3">
        <v>442330000</v>
      </c>
      <c r="L21" s="3" t="s">
        <v>149</v>
      </c>
    </row>
    <row r="22" spans="1:12" x14ac:dyDescent="0.2">
      <c r="A22" s="1" t="s">
        <v>150</v>
      </c>
      <c r="B22" s="2" t="str">
        <f>HYPERLINK("https://docket.philalegal.org/cgi-bin/proxy.pl?ct=160302291","160302291")</f>
        <v>160302291</v>
      </c>
      <c r="C22" s="3" t="s">
        <v>151</v>
      </c>
      <c r="D22" s="3" t="s">
        <v>152</v>
      </c>
      <c r="E22" s="3" t="s">
        <v>153</v>
      </c>
      <c r="F22" s="3" t="s">
        <v>14</v>
      </c>
      <c r="G22" s="3"/>
      <c r="H22" s="3" t="s">
        <v>154</v>
      </c>
      <c r="I22" s="3"/>
      <c r="J22" s="3" t="s">
        <v>155</v>
      </c>
      <c r="K22" s="3">
        <v>871548050</v>
      </c>
      <c r="L22" s="3" t="s">
        <v>156</v>
      </c>
    </row>
    <row r="23" spans="1:12" x14ac:dyDescent="0.2">
      <c r="A23" s="1" t="s">
        <v>157</v>
      </c>
      <c r="B23" s="2" t="str">
        <f>HYPERLINK("https://docket.philalegal.org/cgi-bin/proxy.pl?ct=140701287","140701287")</f>
        <v>140701287</v>
      </c>
      <c r="C23" s="3" t="s">
        <v>158</v>
      </c>
      <c r="D23" s="3" t="s">
        <v>13</v>
      </c>
      <c r="E23" s="3" t="s">
        <v>159</v>
      </c>
      <c r="F23" s="3" t="s">
        <v>160</v>
      </c>
      <c r="G23" s="3" t="s">
        <v>161</v>
      </c>
      <c r="H23" s="3" t="s">
        <v>161</v>
      </c>
      <c r="I23" s="3"/>
      <c r="J23" s="3" t="s">
        <v>162</v>
      </c>
      <c r="K23" s="3">
        <v>102437100</v>
      </c>
      <c r="L23" s="3" t="s">
        <v>163</v>
      </c>
    </row>
    <row r="24" spans="1:12" x14ac:dyDescent="0.2">
      <c r="A24" s="1" t="s">
        <v>164</v>
      </c>
      <c r="B24" s="2" t="str">
        <f>HYPERLINK("https://docket.philalegal.org/cgi-bin/proxy.pl?ct=130100387","130100387")</f>
        <v>130100387</v>
      </c>
      <c r="C24" s="3" t="s">
        <v>165</v>
      </c>
      <c r="D24" s="3" t="s">
        <v>166</v>
      </c>
      <c r="E24" s="3" t="s">
        <v>35</v>
      </c>
      <c r="F24" s="3" t="s">
        <v>36</v>
      </c>
      <c r="G24" s="3" t="s">
        <v>3601</v>
      </c>
      <c r="H24" s="3" t="s">
        <v>167</v>
      </c>
      <c r="I24" s="3" t="s">
        <v>168</v>
      </c>
      <c r="J24" s="3" t="s">
        <v>169</v>
      </c>
      <c r="K24" s="3">
        <v>365133300</v>
      </c>
      <c r="L24" s="3" t="s">
        <v>170</v>
      </c>
    </row>
    <row r="25" spans="1:12" x14ac:dyDescent="0.2">
      <c r="A25" s="1" t="s">
        <v>171</v>
      </c>
      <c r="B25" s="2" t="str">
        <f>HYPERLINK("https://docket.philalegal.org/cgi-bin/proxy.pl?ct=140603423","140603423")</f>
        <v>140603423</v>
      </c>
      <c r="C25" s="3" t="s">
        <v>172</v>
      </c>
      <c r="D25" s="3" t="s">
        <v>18</v>
      </c>
      <c r="E25" s="3" t="s">
        <v>35</v>
      </c>
      <c r="F25" s="3" t="s">
        <v>173</v>
      </c>
      <c r="G25" s="3"/>
      <c r="H25" s="3" t="s">
        <v>174</v>
      </c>
      <c r="I25" s="3" t="s">
        <v>175</v>
      </c>
      <c r="J25" s="3" t="s">
        <v>176</v>
      </c>
      <c r="K25" s="3">
        <v>301189200</v>
      </c>
      <c r="L25" s="3" t="s">
        <v>177</v>
      </c>
    </row>
    <row r="26" spans="1:12" x14ac:dyDescent="0.2">
      <c r="A26" s="1" t="s">
        <v>178</v>
      </c>
      <c r="B26" s="2" t="str">
        <f>HYPERLINK("https://docket.philalegal.org/cgi-bin/proxy.pl?ct=210502167","210502167")</f>
        <v>210502167</v>
      </c>
      <c r="C26" s="3" t="s">
        <v>179</v>
      </c>
      <c r="D26" s="3" t="s">
        <v>18</v>
      </c>
      <c r="E26" s="3" t="s">
        <v>35</v>
      </c>
      <c r="F26" s="3" t="s">
        <v>44</v>
      </c>
      <c r="G26" s="3" t="s">
        <v>180</v>
      </c>
      <c r="H26" s="3" t="s">
        <v>180</v>
      </c>
      <c r="I26" s="3" t="s">
        <v>181</v>
      </c>
      <c r="J26" s="3" t="s">
        <v>182</v>
      </c>
      <c r="K26" s="3">
        <v>411367500</v>
      </c>
      <c r="L26" s="3" t="s">
        <v>183</v>
      </c>
    </row>
    <row r="27" spans="1:12" x14ac:dyDescent="0.2">
      <c r="A27" s="1" t="s">
        <v>184</v>
      </c>
      <c r="B27" s="2" t="str">
        <f>HYPERLINK("https://docket.philalegal.org/cgi-bin/proxy.pl?ct=220701938","220701938")</f>
        <v>220701938</v>
      </c>
      <c r="C27" s="3" t="s">
        <v>185</v>
      </c>
      <c r="D27" s="3" t="s">
        <v>186</v>
      </c>
      <c r="E27" s="3" t="s">
        <v>187</v>
      </c>
      <c r="F27" s="3" t="s">
        <v>188</v>
      </c>
      <c r="G27" s="3"/>
      <c r="H27" s="3" t="s">
        <v>189</v>
      </c>
      <c r="I27" s="3"/>
      <c r="J27" s="3" t="s">
        <v>190</v>
      </c>
      <c r="K27" s="3">
        <v>273066700</v>
      </c>
      <c r="L27" s="3" t="s">
        <v>191</v>
      </c>
    </row>
    <row r="28" spans="1:12" x14ac:dyDescent="0.2">
      <c r="A28" s="1" t="s">
        <v>192</v>
      </c>
      <c r="B28" s="2" t="str">
        <f>HYPERLINK("https://docket.philalegal.org/cgi-bin/proxy.pl?ct=220501706","220501706")</f>
        <v>220501706</v>
      </c>
      <c r="C28" s="3" t="s">
        <v>193</v>
      </c>
      <c r="D28" s="3" t="s">
        <v>18</v>
      </c>
      <c r="E28" s="3" t="s">
        <v>194</v>
      </c>
      <c r="F28" s="3" t="s">
        <v>195</v>
      </c>
      <c r="G28" s="3" t="s">
        <v>3602</v>
      </c>
      <c r="H28" s="3" t="s">
        <v>196</v>
      </c>
      <c r="I28" s="3"/>
      <c r="J28" s="3" t="s">
        <v>197</v>
      </c>
      <c r="K28" s="3">
        <v>871548690</v>
      </c>
      <c r="L28" s="3" t="s">
        <v>198</v>
      </c>
    </row>
    <row r="29" spans="1:12" x14ac:dyDescent="0.2">
      <c r="A29" s="1" t="s">
        <v>199</v>
      </c>
      <c r="B29" s="2" t="str">
        <f>HYPERLINK("https://docket.philalegal.org/cgi-bin/proxy.pl?ct=160301871","160301871")</f>
        <v>160301871</v>
      </c>
      <c r="C29" s="3" t="s">
        <v>200</v>
      </c>
      <c r="D29" s="3" t="s">
        <v>88</v>
      </c>
      <c r="E29" s="3" t="s">
        <v>201</v>
      </c>
      <c r="F29" s="3" t="s">
        <v>202</v>
      </c>
      <c r="G29" s="3" t="s">
        <v>203</v>
      </c>
      <c r="H29" s="3" t="s">
        <v>203</v>
      </c>
      <c r="I29" s="3"/>
      <c r="J29" s="3" t="s">
        <v>204</v>
      </c>
      <c r="K29" s="3">
        <v>292190800</v>
      </c>
      <c r="L29" s="3" t="s">
        <v>205</v>
      </c>
    </row>
    <row r="30" spans="1:12" x14ac:dyDescent="0.2">
      <c r="A30" s="1" t="s">
        <v>206</v>
      </c>
      <c r="B30" s="2" t="str">
        <f>HYPERLINK("https://docket.philalegal.org/cgi-bin/proxy.pl?ct=230702095","230702095")</f>
        <v>230702095</v>
      </c>
      <c r="C30" s="3" t="s">
        <v>207</v>
      </c>
      <c r="D30" s="3" t="s">
        <v>208</v>
      </c>
      <c r="E30" s="3" t="s">
        <v>209</v>
      </c>
      <c r="F30" s="3" t="s">
        <v>210</v>
      </c>
      <c r="G30" s="3" t="s">
        <v>3857</v>
      </c>
      <c r="H30" s="3" t="s">
        <v>211</v>
      </c>
      <c r="I30" s="3"/>
      <c r="J30" s="3" t="s">
        <v>212</v>
      </c>
      <c r="K30" s="3">
        <v>632000128</v>
      </c>
      <c r="L30" s="3" t="s">
        <v>213</v>
      </c>
    </row>
    <row r="31" spans="1:12" x14ac:dyDescent="0.2">
      <c r="A31" s="1" t="s">
        <v>214</v>
      </c>
      <c r="B31" s="2" t="str">
        <f>HYPERLINK("https://docket.philalegal.org/cgi-bin/proxy.pl?ct=200701522","200701522")</f>
        <v>200701522</v>
      </c>
      <c r="C31" s="3" t="s">
        <v>215</v>
      </c>
      <c r="D31" s="3" t="s">
        <v>216</v>
      </c>
      <c r="E31" s="3" t="s">
        <v>217</v>
      </c>
      <c r="F31" s="3" t="s">
        <v>36</v>
      </c>
      <c r="G31" s="3" t="s">
        <v>218</v>
      </c>
      <c r="H31" s="3" t="s">
        <v>218</v>
      </c>
      <c r="I31" s="3" t="s">
        <v>219</v>
      </c>
      <c r="J31" s="3" t="s">
        <v>220</v>
      </c>
      <c r="K31" s="3">
        <v>241196600</v>
      </c>
      <c r="L31" s="3" t="s">
        <v>221</v>
      </c>
    </row>
    <row r="32" spans="1:12" x14ac:dyDescent="0.2">
      <c r="A32" s="1" t="s">
        <v>222</v>
      </c>
      <c r="B32" s="2" t="str">
        <f>HYPERLINK("https://docket.philalegal.org/cgi-bin/proxy.pl?ct=170500758","170500758")</f>
        <v>170500758</v>
      </c>
      <c r="C32" s="3" t="s">
        <v>223</v>
      </c>
      <c r="D32" s="3" t="s">
        <v>64</v>
      </c>
      <c r="E32" s="3" t="s">
        <v>224</v>
      </c>
      <c r="F32" s="3" t="s">
        <v>225</v>
      </c>
      <c r="G32" s="3" t="s">
        <v>3858</v>
      </c>
      <c r="H32" s="3" t="s">
        <v>226</v>
      </c>
      <c r="I32" s="3"/>
      <c r="J32" s="3" t="s">
        <v>227</v>
      </c>
      <c r="K32" s="3">
        <v>292017810</v>
      </c>
      <c r="L32" s="3" t="s">
        <v>64</v>
      </c>
    </row>
    <row r="33" spans="1:12" x14ac:dyDescent="0.2">
      <c r="A33" s="1" t="s">
        <v>228</v>
      </c>
      <c r="B33" s="2" t="str">
        <f>HYPERLINK("https://docket.philalegal.org/cgi-bin/proxy.pl?ct=180600649","180600649")</f>
        <v>180600649</v>
      </c>
      <c r="C33" s="3" t="s">
        <v>229</v>
      </c>
      <c r="D33" s="3" t="s">
        <v>18</v>
      </c>
      <c r="E33" s="3" t="s">
        <v>230</v>
      </c>
      <c r="F33" s="3" t="s">
        <v>173</v>
      </c>
      <c r="G33" s="3" t="s">
        <v>3859</v>
      </c>
      <c r="H33" s="3" t="s">
        <v>231</v>
      </c>
      <c r="I33" s="3" t="s">
        <v>232</v>
      </c>
      <c r="J33" s="3" t="s">
        <v>233</v>
      </c>
      <c r="K33" s="3">
        <v>511111900</v>
      </c>
      <c r="L33" s="3" t="s">
        <v>234</v>
      </c>
    </row>
    <row r="34" spans="1:12" x14ac:dyDescent="0.2">
      <c r="A34" s="1" t="s">
        <v>235</v>
      </c>
      <c r="B34" s="2" t="str">
        <f>HYPERLINK("https://docket.philalegal.org/cgi-bin/proxy.pl?ct=210100803","210100803")</f>
        <v>210100803</v>
      </c>
      <c r="C34" s="3" t="s">
        <v>236</v>
      </c>
      <c r="D34" s="3" t="s">
        <v>216</v>
      </c>
      <c r="E34" s="3" t="s">
        <v>237</v>
      </c>
      <c r="F34" s="3" t="s">
        <v>238</v>
      </c>
      <c r="G34" s="3"/>
      <c r="H34" s="3" t="s">
        <v>239</v>
      </c>
      <c r="I34" s="3" t="s">
        <v>240</v>
      </c>
      <c r="J34" s="3" t="s">
        <v>241</v>
      </c>
      <c r="K34" s="3">
        <v>881218400</v>
      </c>
      <c r="L34" s="3" t="s">
        <v>242</v>
      </c>
    </row>
    <row r="35" spans="1:12" x14ac:dyDescent="0.2">
      <c r="A35" s="1" t="s">
        <v>243</v>
      </c>
      <c r="B35" s="2" t="str">
        <f>HYPERLINK("https://docket.philalegal.org/cgi-bin/proxy.pl?ct=170601165","170601165")</f>
        <v>170601165</v>
      </c>
      <c r="C35" s="3" t="s">
        <v>244</v>
      </c>
      <c r="D35" s="3" t="s">
        <v>13</v>
      </c>
      <c r="E35" s="3" t="s">
        <v>245</v>
      </c>
      <c r="F35" s="3" t="s">
        <v>246</v>
      </c>
      <c r="G35" s="3" t="s">
        <v>3603</v>
      </c>
      <c r="H35" s="3" t="s">
        <v>247</v>
      </c>
      <c r="I35" s="3"/>
      <c r="J35" s="3" t="s">
        <v>248</v>
      </c>
      <c r="K35" s="3">
        <v>262059500</v>
      </c>
      <c r="L35" s="3" t="s">
        <v>249</v>
      </c>
    </row>
    <row r="36" spans="1:12" x14ac:dyDescent="0.2">
      <c r="A36" s="1" t="s">
        <v>250</v>
      </c>
      <c r="B36" s="2" t="str">
        <f>HYPERLINK("https://docket.philalegal.org/cgi-bin/proxy.pl?ct=231000777","231000777")</f>
        <v>231000777</v>
      </c>
      <c r="C36" s="3" t="s">
        <v>251</v>
      </c>
      <c r="D36" s="3" t="s">
        <v>208</v>
      </c>
      <c r="E36" s="3" t="s">
        <v>252</v>
      </c>
      <c r="F36" s="3" t="s">
        <v>36</v>
      </c>
      <c r="G36" s="3" t="s">
        <v>3604</v>
      </c>
      <c r="H36" s="3" t="s">
        <v>253</v>
      </c>
      <c r="I36" s="3"/>
      <c r="J36" s="3" t="s">
        <v>254</v>
      </c>
      <c r="K36" s="3">
        <v>243153700</v>
      </c>
      <c r="L36" s="3" t="s">
        <v>255</v>
      </c>
    </row>
    <row r="37" spans="1:12" x14ac:dyDescent="0.2">
      <c r="A37" s="1" t="s">
        <v>256</v>
      </c>
      <c r="B37" s="2" t="str">
        <f>HYPERLINK("https://docket.philalegal.org/cgi-bin/proxy.pl?ct=230801774","230801774")</f>
        <v>230801774</v>
      </c>
      <c r="C37" s="3" t="s">
        <v>257</v>
      </c>
      <c r="D37" s="3" t="s">
        <v>208</v>
      </c>
      <c r="E37" s="3" t="s">
        <v>258</v>
      </c>
      <c r="F37" s="3" t="s">
        <v>259</v>
      </c>
      <c r="G37" s="3" t="s">
        <v>3605</v>
      </c>
      <c r="H37" s="3" t="s">
        <v>260</v>
      </c>
      <c r="I37" s="3"/>
      <c r="J37" s="3" t="s">
        <v>261</v>
      </c>
      <c r="K37" s="3">
        <v>291347800</v>
      </c>
      <c r="L37" s="3" t="s">
        <v>262</v>
      </c>
    </row>
    <row r="38" spans="1:12" x14ac:dyDescent="0.2">
      <c r="A38" s="1" t="s">
        <v>263</v>
      </c>
      <c r="B38" s="2" t="str">
        <f>HYPERLINK("https://docket.philalegal.org/cgi-bin/proxy.pl?ct=190702794","190702794")</f>
        <v>190702794</v>
      </c>
      <c r="C38" s="3" t="s">
        <v>185</v>
      </c>
      <c r="D38" s="3" t="s">
        <v>18</v>
      </c>
      <c r="E38" s="3" t="s">
        <v>187</v>
      </c>
      <c r="F38" s="3" t="s">
        <v>264</v>
      </c>
      <c r="G38" s="3" t="s">
        <v>3606</v>
      </c>
      <c r="H38" s="3" t="s">
        <v>265</v>
      </c>
      <c r="I38" s="3"/>
      <c r="J38" s="3" t="s">
        <v>266</v>
      </c>
      <c r="K38" s="3">
        <v>323195200</v>
      </c>
      <c r="L38" s="3" t="s">
        <v>267</v>
      </c>
    </row>
    <row r="39" spans="1:12" x14ac:dyDescent="0.2">
      <c r="A39" s="1" t="s">
        <v>268</v>
      </c>
      <c r="B39" s="2" t="str">
        <f>HYPERLINK("https://docket.philalegal.org/cgi-bin/proxy.pl?ct=181102698","181102698")</f>
        <v>181102698</v>
      </c>
      <c r="C39" s="3" t="s">
        <v>269</v>
      </c>
      <c r="D39" s="3" t="s">
        <v>13</v>
      </c>
      <c r="E39" s="3" t="s">
        <v>270</v>
      </c>
      <c r="F39" s="3" t="s">
        <v>271</v>
      </c>
      <c r="G39" s="3" t="s">
        <v>3633</v>
      </c>
      <c r="H39" s="3" t="s">
        <v>272</v>
      </c>
      <c r="I39" s="3"/>
      <c r="J39" s="3" t="s">
        <v>273</v>
      </c>
      <c r="K39" s="3">
        <v>213117900</v>
      </c>
      <c r="L39" s="3" t="s">
        <v>274</v>
      </c>
    </row>
    <row r="40" spans="1:12" x14ac:dyDescent="0.2">
      <c r="A40" s="1" t="s">
        <v>275</v>
      </c>
      <c r="B40" s="2" t="str">
        <f>HYPERLINK("https://docket.philalegal.org/cgi-bin/proxy.pl?ct=180300025","180300025")</f>
        <v>180300025</v>
      </c>
      <c r="C40" s="3" t="s">
        <v>185</v>
      </c>
      <c r="D40" s="3" t="s">
        <v>13</v>
      </c>
      <c r="E40" s="3" t="s">
        <v>187</v>
      </c>
      <c r="F40" s="3" t="s">
        <v>210</v>
      </c>
      <c r="G40" s="3" t="s">
        <v>3607</v>
      </c>
      <c r="H40" s="3" t="s">
        <v>276</v>
      </c>
      <c r="I40" s="3"/>
      <c r="J40" s="3" t="s">
        <v>277</v>
      </c>
      <c r="K40" s="3">
        <v>312124300</v>
      </c>
      <c r="L40" s="3" t="s">
        <v>278</v>
      </c>
    </row>
    <row r="41" spans="1:12" x14ac:dyDescent="0.2">
      <c r="A41" s="1" t="s">
        <v>279</v>
      </c>
      <c r="B41" s="2" t="str">
        <f>HYPERLINK("https://docket.philalegal.org/cgi-bin/proxy.pl?ct=140200804","140200804")</f>
        <v>140200804</v>
      </c>
      <c r="C41" s="3" t="s">
        <v>280</v>
      </c>
      <c r="D41" s="3" t="s">
        <v>88</v>
      </c>
      <c r="E41" s="3" t="s">
        <v>35</v>
      </c>
      <c r="F41" s="3" t="s">
        <v>36</v>
      </c>
      <c r="G41" s="3" t="s">
        <v>281</v>
      </c>
      <c r="H41" s="3" t="s">
        <v>281</v>
      </c>
      <c r="I41" s="3" t="s">
        <v>282</v>
      </c>
      <c r="J41" s="3" t="s">
        <v>283</v>
      </c>
      <c r="K41" s="3">
        <v>365152500</v>
      </c>
      <c r="L41" s="3" t="s">
        <v>284</v>
      </c>
    </row>
    <row r="42" spans="1:12" x14ac:dyDescent="0.2">
      <c r="A42" s="1" t="s">
        <v>285</v>
      </c>
      <c r="B42" s="2" t="str">
        <f>HYPERLINK("https://docket.philalegal.org/cgi-bin/proxy.pl?ct=170503868","170503868")</f>
        <v>170503868</v>
      </c>
      <c r="C42" s="3" t="s">
        <v>286</v>
      </c>
      <c r="D42" s="3" t="s">
        <v>13</v>
      </c>
      <c r="E42" s="3" t="s">
        <v>287</v>
      </c>
      <c r="F42" s="3" t="s">
        <v>288</v>
      </c>
      <c r="G42" s="3" t="s">
        <v>3860</v>
      </c>
      <c r="H42" s="3" t="s">
        <v>289</v>
      </c>
      <c r="I42" s="3"/>
      <c r="J42" s="3" t="s">
        <v>290</v>
      </c>
      <c r="K42" s="3">
        <v>885061760</v>
      </c>
      <c r="L42" s="3" t="s">
        <v>291</v>
      </c>
    </row>
    <row r="43" spans="1:12" x14ac:dyDescent="0.2">
      <c r="A43" s="1" t="s">
        <v>292</v>
      </c>
      <c r="B43" s="2" t="str">
        <f>HYPERLINK("https://docket.philalegal.org/cgi-bin/proxy.pl?ct=230702948","230702948")</f>
        <v>230702948</v>
      </c>
      <c r="C43" s="3" t="s">
        <v>293</v>
      </c>
      <c r="D43" s="3" t="s">
        <v>208</v>
      </c>
      <c r="E43" s="3" t="s">
        <v>187</v>
      </c>
      <c r="F43" s="3" t="s">
        <v>210</v>
      </c>
      <c r="G43" s="3"/>
      <c r="H43" s="3" t="s">
        <v>294</v>
      </c>
      <c r="I43" s="3"/>
      <c r="J43" s="3" t="s">
        <v>295</v>
      </c>
      <c r="K43" s="3">
        <v>501245200</v>
      </c>
      <c r="L43" s="3" t="s">
        <v>296</v>
      </c>
    </row>
    <row r="44" spans="1:12" x14ac:dyDescent="0.2">
      <c r="A44" s="1" t="s">
        <v>297</v>
      </c>
      <c r="B44" s="2" t="str">
        <f>HYPERLINK("https://docket.philalegal.org/cgi-bin/proxy.pl?ct=230600547","230600547")</f>
        <v>230600547</v>
      </c>
      <c r="C44" s="3" t="s">
        <v>298</v>
      </c>
      <c r="D44" s="3" t="s">
        <v>208</v>
      </c>
      <c r="E44" s="3" t="s">
        <v>35</v>
      </c>
      <c r="F44" s="3" t="s">
        <v>44</v>
      </c>
      <c r="G44" s="3"/>
      <c r="H44" s="3" t="s">
        <v>299</v>
      </c>
      <c r="I44" s="3"/>
      <c r="J44" s="3" t="s">
        <v>300</v>
      </c>
      <c r="K44" s="3">
        <v>351028300</v>
      </c>
      <c r="L44" s="3" t="s">
        <v>301</v>
      </c>
    </row>
    <row r="45" spans="1:12" x14ac:dyDescent="0.2">
      <c r="A45" s="1" t="s">
        <v>302</v>
      </c>
      <c r="B45" s="2" t="str">
        <f>HYPERLINK("https://docket.philalegal.org/cgi-bin/proxy.pl?ct=220301900","220301900")</f>
        <v>220301900</v>
      </c>
      <c r="C45" s="3" t="s">
        <v>303</v>
      </c>
      <c r="D45" s="3" t="s">
        <v>304</v>
      </c>
      <c r="E45" s="3" t="s">
        <v>305</v>
      </c>
      <c r="F45" s="3" t="s">
        <v>210</v>
      </c>
      <c r="G45" s="3" t="s">
        <v>3608</v>
      </c>
      <c r="H45" s="3" t="s">
        <v>306</v>
      </c>
      <c r="I45" s="3" t="s">
        <v>307</v>
      </c>
      <c r="J45" s="3" t="s">
        <v>308</v>
      </c>
      <c r="K45" s="3">
        <v>882968910</v>
      </c>
      <c r="L45" s="3" t="s">
        <v>309</v>
      </c>
    </row>
    <row r="46" spans="1:12" x14ac:dyDescent="0.2">
      <c r="A46" s="1" t="s">
        <v>310</v>
      </c>
      <c r="B46" s="2" t="str">
        <f>HYPERLINK("https://docket.philalegal.org/cgi-bin/proxy.pl?ct=160803254","160803254")</f>
        <v>160803254</v>
      </c>
      <c r="C46" s="3" t="s">
        <v>311</v>
      </c>
      <c r="D46" s="3" t="s">
        <v>88</v>
      </c>
      <c r="E46" s="3" t="s">
        <v>312</v>
      </c>
      <c r="F46" s="3" t="s">
        <v>313</v>
      </c>
      <c r="G46" s="3" t="s">
        <v>3609</v>
      </c>
      <c r="H46" s="3" t="s">
        <v>314</v>
      </c>
      <c r="I46" s="3"/>
      <c r="J46" s="3" t="s">
        <v>315</v>
      </c>
      <c r="K46" s="3">
        <v>471259000</v>
      </c>
      <c r="L46" s="3" t="s">
        <v>316</v>
      </c>
    </row>
    <row r="47" spans="1:12" x14ac:dyDescent="0.2">
      <c r="A47" s="1" t="s">
        <v>317</v>
      </c>
      <c r="B47" s="2" t="str">
        <f>HYPERLINK("https://docket.philalegal.org/cgi-bin/proxy.pl?ct=210800574","210800574")</f>
        <v>210800574</v>
      </c>
      <c r="C47" s="3" t="s">
        <v>318</v>
      </c>
      <c r="D47" s="3" t="s">
        <v>18</v>
      </c>
      <c r="E47" s="3" t="s">
        <v>319</v>
      </c>
      <c r="F47" s="3" t="s">
        <v>320</v>
      </c>
      <c r="G47" s="3"/>
      <c r="H47" s="3" t="s">
        <v>321</v>
      </c>
      <c r="I47" s="3" t="s">
        <v>27</v>
      </c>
      <c r="J47" s="3" t="s">
        <v>322</v>
      </c>
      <c r="K47" s="3">
        <v>881711300</v>
      </c>
      <c r="L47" s="3" t="s">
        <v>323</v>
      </c>
    </row>
    <row r="48" spans="1:12" x14ac:dyDescent="0.2">
      <c r="A48" s="1" t="s">
        <v>324</v>
      </c>
      <c r="B48" s="2" t="str">
        <f>HYPERLINK("https://docket.philalegal.org/cgi-bin/proxy.pl?ct=240101871","240101871")</f>
        <v>240101871</v>
      </c>
      <c r="C48" s="3" t="s">
        <v>325</v>
      </c>
      <c r="D48" s="3" t="s">
        <v>208</v>
      </c>
      <c r="E48" s="3" t="s">
        <v>326</v>
      </c>
      <c r="F48" s="3" t="s">
        <v>327</v>
      </c>
      <c r="G48" s="3" t="s">
        <v>328</v>
      </c>
      <c r="H48" s="3" t="s">
        <v>328</v>
      </c>
      <c r="I48" s="3"/>
      <c r="J48" s="3" t="s">
        <v>329</v>
      </c>
      <c r="K48" s="3">
        <v>871530080</v>
      </c>
      <c r="L48" s="3" t="s">
        <v>330</v>
      </c>
    </row>
    <row r="49" spans="1:12" x14ac:dyDescent="0.2">
      <c r="A49" s="1" t="s">
        <v>331</v>
      </c>
      <c r="B49" s="2" t="str">
        <f>HYPERLINK("https://docket.philalegal.org/cgi-bin/proxy.pl?ct=170800012","170800012")</f>
        <v>170800012</v>
      </c>
      <c r="C49" s="3" t="s">
        <v>185</v>
      </c>
      <c r="D49" s="3" t="s">
        <v>332</v>
      </c>
      <c r="E49" s="3" t="s">
        <v>187</v>
      </c>
      <c r="F49" s="3" t="s">
        <v>271</v>
      </c>
      <c r="G49" s="3" t="s">
        <v>3610</v>
      </c>
      <c r="H49" s="3" t="s">
        <v>333</v>
      </c>
      <c r="I49" s="3"/>
      <c r="J49" s="3" t="s">
        <v>334</v>
      </c>
      <c r="K49" s="3">
        <v>123214400</v>
      </c>
      <c r="L49" s="3" t="s">
        <v>335</v>
      </c>
    </row>
    <row r="50" spans="1:12" x14ac:dyDescent="0.2">
      <c r="A50" s="1" t="s">
        <v>336</v>
      </c>
      <c r="B50" s="2" t="str">
        <f>HYPERLINK("https://docket.philalegal.org/cgi-bin/proxy.pl?ct=130503922","130503922")</f>
        <v>130503922</v>
      </c>
      <c r="C50" s="3" t="s">
        <v>337</v>
      </c>
      <c r="D50" s="3" t="s">
        <v>88</v>
      </c>
      <c r="E50" s="3" t="s">
        <v>338</v>
      </c>
      <c r="F50" s="3" t="s">
        <v>36</v>
      </c>
      <c r="G50" s="3" t="s">
        <v>339</v>
      </c>
      <c r="H50" s="3" t="s">
        <v>339</v>
      </c>
      <c r="I50" s="3" t="s">
        <v>340</v>
      </c>
      <c r="J50" s="3" t="s">
        <v>341</v>
      </c>
      <c r="K50" s="3">
        <v>394122800</v>
      </c>
      <c r="L50" s="3" t="s">
        <v>342</v>
      </c>
    </row>
    <row r="51" spans="1:12" x14ac:dyDescent="0.2">
      <c r="A51" s="1" t="s">
        <v>343</v>
      </c>
      <c r="B51" s="2" t="str">
        <f>HYPERLINK("https://docket.philalegal.org/cgi-bin/proxy.pl?ct=161001405","161001405")</f>
        <v>161001405</v>
      </c>
      <c r="C51" s="3" t="s">
        <v>344</v>
      </c>
      <c r="D51" s="3" t="s">
        <v>18</v>
      </c>
      <c r="E51" s="3" t="s">
        <v>35</v>
      </c>
      <c r="F51" s="3" t="s">
        <v>173</v>
      </c>
      <c r="G51" s="3" t="s">
        <v>3611</v>
      </c>
      <c r="H51" s="3" t="s">
        <v>345</v>
      </c>
      <c r="I51" s="3"/>
      <c r="J51" s="3" t="s">
        <v>346</v>
      </c>
      <c r="K51" s="3">
        <v>241214700</v>
      </c>
      <c r="L51" s="3" t="s">
        <v>347</v>
      </c>
    </row>
    <row r="52" spans="1:12" x14ac:dyDescent="0.2">
      <c r="A52" s="1" t="s">
        <v>348</v>
      </c>
      <c r="B52" s="2" t="str">
        <f>HYPERLINK("https://docket.philalegal.org/cgi-bin/proxy.pl?ct=170800598","170800598")</f>
        <v>170800598</v>
      </c>
      <c r="C52" s="3" t="s">
        <v>185</v>
      </c>
      <c r="D52" s="3" t="s">
        <v>13</v>
      </c>
      <c r="E52" s="3" t="s">
        <v>187</v>
      </c>
      <c r="F52" s="3" t="s">
        <v>349</v>
      </c>
      <c r="G52" s="3" t="s">
        <v>281</v>
      </c>
      <c r="H52" s="3" t="s">
        <v>281</v>
      </c>
      <c r="I52" s="3"/>
      <c r="J52" s="3" t="s">
        <v>350</v>
      </c>
      <c r="K52" s="3">
        <v>361056900</v>
      </c>
      <c r="L52" s="3" t="s">
        <v>351</v>
      </c>
    </row>
    <row r="53" spans="1:12" x14ac:dyDescent="0.2">
      <c r="A53" s="1" t="s">
        <v>352</v>
      </c>
      <c r="B53" s="2" t="str">
        <f>HYPERLINK("https://docket.philalegal.org/cgi-bin/proxy.pl?ct=160802531","160802531")</f>
        <v>160802531</v>
      </c>
      <c r="C53" s="3" t="s">
        <v>353</v>
      </c>
      <c r="D53" s="3" t="s">
        <v>79</v>
      </c>
      <c r="E53" s="3" t="s">
        <v>305</v>
      </c>
      <c r="F53" s="3" t="s">
        <v>354</v>
      </c>
      <c r="G53" s="3" t="s">
        <v>3612</v>
      </c>
      <c r="H53" s="3" t="s">
        <v>355</v>
      </c>
      <c r="I53" s="3" t="s">
        <v>356</v>
      </c>
      <c r="J53" s="3" t="s">
        <v>357</v>
      </c>
      <c r="K53" s="3">
        <v>151021800</v>
      </c>
      <c r="L53" s="3" t="s">
        <v>358</v>
      </c>
    </row>
    <row r="54" spans="1:12" x14ac:dyDescent="0.2">
      <c r="A54" s="1" t="s">
        <v>359</v>
      </c>
      <c r="B54" s="2" t="str">
        <f>HYPERLINK("https://docket.philalegal.org/cgi-bin/proxy.pl?ct=200300039","200300039")</f>
        <v>200300039</v>
      </c>
      <c r="C54" s="3" t="s">
        <v>360</v>
      </c>
      <c r="D54" s="3" t="s">
        <v>88</v>
      </c>
      <c r="E54" s="3" t="s">
        <v>361</v>
      </c>
      <c r="F54" s="3" t="s">
        <v>362</v>
      </c>
      <c r="G54" s="3" t="s">
        <v>363</v>
      </c>
      <c r="H54" s="3" t="s">
        <v>363</v>
      </c>
      <c r="I54" s="3"/>
      <c r="J54" s="3" t="s">
        <v>364</v>
      </c>
      <c r="K54" s="3">
        <v>291062400</v>
      </c>
      <c r="L54" s="3" t="s">
        <v>365</v>
      </c>
    </row>
    <row r="55" spans="1:12" x14ac:dyDescent="0.2">
      <c r="A55" s="1" t="s">
        <v>366</v>
      </c>
      <c r="B55" s="2" t="str">
        <f>HYPERLINK("https://docket.philalegal.org/cgi-bin/proxy.pl?ct=220900469","220900469")</f>
        <v>220900469</v>
      </c>
      <c r="C55" s="3" t="s">
        <v>367</v>
      </c>
      <c r="D55" s="3" t="s">
        <v>216</v>
      </c>
      <c r="E55" s="3" t="s">
        <v>35</v>
      </c>
      <c r="F55" s="3" t="s">
        <v>36</v>
      </c>
      <c r="G55" s="3" t="s">
        <v>368</v>
      </c>
      <c r="H55" s="3" t="s">
        <v>368</v>
      </c>
      <c r="I55" s="3" t="s">
        <v>210</v>
      </c>
      <c r="J55" s="3" t="s">
        <v>369</v>
      </c>
      <c r="K55" s="3">
        <v>871210350</v>
      </c>
      <c r="L55" s="3" t="s">
        <v>370</v>
      </c>
    </row>
    <row r="56" spans="1:12" x14ac:dyDescent="0.2">
      <c r="A56" s="1" t="s">
        <v>371</v>
      </c>
      <c r="B56" s="2" t="str">
        <f>HYPERLINK("https://docket.philalegal.org/cgi-bin/proxy.pl?ct=210501149","210501149")</f>
        <v>210501149</v>
      </c>
      <c r="C56" s="3" t="s">
        <v>372</v>
      </c>
      <c r="D56" s="3" t="s">
        <v>18</v>
      </c>
      <c r="E56" s="3" t="s">
        <v>187</v>
      </c>
      <c r="F56" s="3" t="s">
        <v>210</v>
      </c>
      <c r="G56" s="3"/>
      <c r="H56" s="3" t="s">
        <v>373</v>
      </c>
      <c r="I56" s="3" t="s">
        <v>36</v>
      </c>
      <c r="J56" s="3" t="s">
        <v>374</v>
      </c>
      <c r="K56" s="3">
        <v>884465155</v>
      </c>
      <c r="L56" s="3" t="s">
        <v>375</v>
      </c>
    </row>
    <row r="57" spans="1:12" x14ac:dyDescent="0.2">
      <c r="A57" s="1" t="s">
        <v>376</v>
      </c>
      <c r="B57" s="2" t="str">
        <f>HYPERLINK("https://docket.philalegal.org/cgi-bin/proxy.pl?ct=150402580","150402580")</f>
        <v>150402580</v>
      </c>
      <c r="C57" s="3" t="s">
        <v>377</v>
      </c>
      <c r="D57" s="3" t="s">
        <v>18</v>
      </c>
      <c r="E57" s="3" t="s">
        <v>378</v>
      </c>
      <c r="F57" s="3" t="s">
        <v>36</v>
      </c>
      <c r="G57" s="3"/>
      <c r="H57" s="3" t="s">
        <v>379</v>
      </c>
      <c r="I57" s="3"/>
      <c r="J57" s="3" t="s">
        <v>380</v>
      </c>
      <c r="K57" s="3">
        <v>152112000</v>
      </c>
      <c r="L57" s="3" t="s">
        <v>381</v>
      </c>
    </row>
    <row r="58" spans="1:12" x14ac:dyDescent="0.2">
      <c r="A58" s="1" t="s">
        <v>382</v>
      </c>
      <c r="B58" s="2" t="str">
        <f>HYPERLINK("https://docket.philalegal.org/cgi-bin/proxy.pl?ct=201001449","201001449")</f>
        <v>201001449</v>
      </c>
      <c r="C58" s="3" t="s">
        <v>383</v>
      </c>
      <c r="D58" s="3" t="s">
        <v>88</v>
      </c>
      <c r="E58" s="3" t="s">
        <v>230</v>
      </c>
      <c r="F58" s="3" t="s">
        <v>36</v>
      </c>
      <c r="G58" s="3" t="s">
        <v>384</v>
      </c>
      <c r="H58" s="3" t="s">
        <v>384</v>
      </c>
      <c r="I58" s="3"/>
      <c r="J58" s="3" t="s">
        <v>385</v>
      </c>
      <c r="K58" s="3">
        <v>481011300</v>
      </c>
      <c r="L58" s="3" t="s">
        <v>386</v>
      </c>
    </row>
    <row r="59" spans="1:12" x14ac:dyDescent="0.2">
      <c r="A59" s="1" t="s">
        <v>387</v>
      </c>
      <c r="B59" s="2" t="str">
        <f>HYPERLINK("https://docket.philalegal.org/cgi-bin/proxy.pl?ct=140800884","140800884")</f>
        <v>140800884</v>
      </c>
      <c r="C59" s="3" t="s">
        <v>388</v>
      </c>
      <c r="D59" s="3" t="s">
        <v>64</v>
      </c>
      <c r="E59" s="3" t="s">
        <v>389</v>
      </c>
      <c r="F59" s="3" t="s">
        <v>36</v>
      </c>
      <c r="G59" s="3"/>
      <c r="H59" s="3" t="s">
        <v>390</v>
      </c>
      <c r="I59" s="3" t="s">
        <v>391</v>
      </c>
      <c r="J59" s="3" t="s">
        <v>392</v>
      </c>
      <c r="K59" s="3">
        <v>871233050</v>
      </c>
      <c r="L59" s="3" t="s">
        <v>64</v>
      </c>
    </row>
    <row r="60" spans="1:12" x14ac:dyDescent="0.2">
      <c r="A60" s="1" t="s">
        <v>393</v>
      </c>
      <c r="B60" s="2" t="str">
        <f>HYPERLINK("https://docket.philalegal.org/cgi-bin/proxy.pl?ct=180104968","180104968")</f>
        <v>180104968</v>
      </c>
      <c r="C60" s="3" t="s">
        <v>394</v>
      </c>
      <c r="D60" s="3" t="s">
        <v>13</v>
      </c>
      <c r="E60" s="3" t="s">
        <v>230</v>
      </c>
      <c r="F60" s="3" t="s">
        <v>395</v>
      </c>
      <c r="G60" s="3" t="s">
        <v>3613</v>
      </c>
      <c r="H60" s="3" t="s">
        <v>396</v>
      </c>
      <c r="I60" s="3" t="s">
        <v>397</v>
      </c>
      <c r="J60" s="3" t="s">
        <v>398</v>
      </c>
      <c r="K60" s="3">
        <v>601030800</v>
      </c>
      <c r="L60" s="3" t="s">
        <v>399</v>
      </c>
    </row>
    <row r="61" spans="1:12" x14ac:dyDescent="0.2">
      <c r="A61" s="1" t="s">
        <v>400</v>
      </c>
      <c r="B61" s="2" t="str">
        <f>HYPERLINK("https://docket.philalegal.org/cgi-bin/proxy.pl?ct=171001125","171001125")</f>
        <v>171001125</v>
      </c>
      <c r="C61" s="3" t="s">
        <v>293</v>
      </c>
      <c r="D61" s="3" t="s">
        <v>18</v>
      </c>
      <c r="E61" s="3" t="s">
        <v>187</v>
      </c>
      <c r="F61" s="3" t="s">
        <v>210</v>
      </c>
      <c r="G61" s="3"/>
      <c r="H61" s="3" t="s">
        <v>401</v>
      </c>
      <c r="I61" s="3"/>
      <c r="J61" s="3" t="s">
        <v>402</v>
      </c>
      <c r="K61" s="3">
        <v>364015000</v>
      </c>
      <c r="L61" s="3" t="s">
        <v>267</v>
      </c>
    </row>
    <row r="62" spans="1:12" x14ac:dyDescent="0.2">
      <c r="A62" s="1" t="s">
        <v>403</v>
      </c>
      <c r="B62" s="2" t="str">
        <f>HYPERLINK("https://docket.philalegal.org/cgi-bin/proxy.pl?ct=180303041","180303041")</f>
        <v>180303041</v>
      </c>
      <c r="C62" s="3" t="s">
        <v>404</v>
      </c>
      <c r="D62" s="3" t="s">
        <v>13</v>
      </c>
      <c r="E62" s="3" t="s">
        <v>319</v>
      </c>
      <c r="F62" s="3" t="s">
        <v>405</v>
      </c>
      <c r="G62" s="3" t="s">
        <v>3861</v>
      </c>
      <c r="H62" s="3" t="s">
        <v>406</v>
      </c>
      <c r="I62" s="3"/>
      <c r="J62" s="3" t="s">
        <v>407</v>
      </c>
      <c r="K62" s="3">
        <v>291371400</v>
      </c>
      <c r="L62" s="3" t="s">
        <v>408</v>
      </c>
    </row>
    <row r="63" spans="1:12" x14ac:dyDescent="0.2">
      <c r="A63" s="1" t="s">
        <v>409</v>
      </c>
      <c r="B63" s="2" t="str">
        <f>HYPERLINK("https://docket.philalegal.org/cgi-bin/proxy.pl?ct=200100434","200100434")</f>
        <v>200100434</v>
      </c>
      <c r="C63" s="3" t="s">
        <v>293</v>
      </c>
      <c r="D63" s="3" t="s">
        <v>18</v>
      </c>
      <c r="E63" s="3" t="s">
        <v>187</v>
      </c>
      <c r="F63" s="3" t="s">
        <v>20</v>
      </c>
      <c r="G63" s="3"/>
      <c r="H63" s="3" t="s">
        <v>410</v>
      </c>
      <c r="I63" s="3" t="s">
        <v>411</v>
      </c>
      <c r="J63" s="3" t="s">
        <v>412</v>
      </c>
      <c r="K63" s="3">
        <v>292095910</v>
      </c>
      <c r="L63" s="3" t="s">
        <v>267</v>
      </c>
    </row>
    <row r="64" spans="1:12" x14ac:dyDescent="0.2">
      <c r="A64" s="1" t="s">
        <v>413</v>
      </c>
      <c r="B64" s="2" t="str">
        <f>HYPERLINK("https://docket.philalegal.org/cgi-bin/proxy.pl?ct=191200060","191200060")</f>
        <v>191200060</v>
      </c>
      <c r="C64" s="3" t="s">
        <v>185</v>
      </c>
      <c r="D64" s="3" t="s">
        <v>88</v>
      </c>
      <c r="E64" s="3" t="s">
        <v>187</v>
      </c>
      <c r="F64" s="3" t="s">
        <v>210</v>
      </c>
      <c r="G64" s="3" t="s">
        <v>3614</v>
      </c>
      <c r="H64" s="3" t="s">
        <v>414</v>
      </c>
      <c r="I64" s="3"/>
      <c r="J64" s="3" t="s">
        <v>415</v>
      </c>
      <c r="K64" s="3">
        <v>324098600</v>
      </c>
      <c r="L64" s="3" t="s">
        <v>416</v>
      </c>
    </row>
    <row r="65" spans="1:12" x14ac:dyDescent="0.2">
      <c r="A65" s="1" t="s">
        <v>417</v>
      </c>
      <c r="B65" s="2" t="str">
        <f>HYPERLINK("https://docket.philalegal.org/cgi-bin/proxy.pl?ct=190900052","190900052")</f>
        <v>190900052</v>
      </c>
      <c r="C65" s="3" t="s">
        <v>418</v>
      </c>
      <c r="D65" s="3" t="s">
        <v>18</v>
      </c>
      <c r="E65" s="3" t="s">
        <v>230</v>
      </c>
      <c r="F65" s="3" t="s">
        <v>36</v>
      </c>
      <c r="G65" s="3" t="s">
        <v>419</v>
      </c>
      <c r="H65" s="3" t="s">
        <v>419</v>
      </c>
      <c r="I65" s="3" t="s">
        <v>420</v>
      </c>
      <c r="J65" s="3" t="s">
        <v>421</v>
      </c>
      <c r="K65" s="3">
        <v>364227700</v>
      </c>
      <c r="L65" s="3" t="s">
        <v>422</v>
      </c>
    </row>
    <row r="66" spans="1:12" x14ac:dyDescent="0.2">
      <c r="A66" s="1" t="s">
        <v>423</v>
      </c>
      <c r="B66" s="2" t="str">
        <f>HYPERLINK("https://docket.philalegal.org/cgi-bin/proxy.pl?ct=180403254","180403254")</f>
        <v>180403254</v>
      </c>
      <c r="C66" s="3" t="s">
        <v>185</v>
      </c>
      <c r="D66" s="3" t="s">
        <v>13</v>
      </c>
      <c r="E66" s="3" t="s">
        <v>187</v>
      </c>
      <c r="F66" s="3" t="s">
        <v>210</v>
      </c>
      <c r="G66" s="3" t="s">
        <v>3615</v>
      </c>
      <c r="H66" s="3" t="s">
        <v>424</v>
      </c>
      <c r="I66" s="3"/>
      <c r="J66" s="3" t="s">
        <v>425</v>
      </c>
      <c r="K66" s="3" t="s">
        <v>426</v>
      </c>
      <c r="L66" s="3" t="s">
        <v>427</v>
      </c>
    </row>
    <row r="67" spans="1:12" x14ac:dyDescent="0.2">
      <c r="A67" s="1" t="s">
        <v>428</v>
      </c>
      <c r="B67" s="2" t="str">
        <f>HYPERLINK("https://docket.philalegal.org/cgi-bin/proxy.pl?ct=170603231","170603231")</f>
        <v>170603231</v>
      </c>
      <c r="C67" s="3" t="s">
        <v>293</v>
      </c>
      <c r="D67" s="3" t="s">
        <v>13</v>
      </c>
      <c r="E67" s="3" t="s">
        <v>187</v>
      </c>
      <c r="F67" s="3" t="s">
        <v>20</v>
      </c>
      <c r="G67" s="3"/>
      <c r="H67" s="3" t="s">
        <v>429</v>
      </c>
      <c r="I67" s="3"/>
      <c r="J67" s="3" t="s">
        <v>430</v>
      </c>
      <c r="K67" s="3">
        <v>871520830</v>
      </c>
      <c r="L67" s="3" t="s">
        <v>431</v>
      </c>
    </row>
    <row r="68" spans="1:12" x14ac:dyDescent="0.2">
      <c r="A68" s="1" t="s">
        <v>432</v>
      </c>
      <c r="B68" s="2" t="str">
        <f>HYPERLINK("https://docket.philalegal.org/cgi-bin/proxy.pl?ct=231101365","231101365")</f>
        <v>231101365</v>
      </c>
      <c r="C68" s="3" t="s">
        <v>293</v>
      </c>
      <c r="D68" s="3" t="s">
        <v>208</v>
      </c>
      <c r="E68" s="3" t="s">
        <v>433</v>
      </c>
      <c r="F68" s="3" t="s">
        <v>210</v>
      </c>
      <c r="G68" s="3"/>
      <c r="H68" s="3" t="s">
        <v>434</v>
      </c>
      <c r="I68" s="3"/>
      <c r="J68" s="3" t="s">
        <v>435</v>
      </c>
      <c r="K68" s="3">
        <v>281427800</v>
      </c>
      <c r="L68" s="3" t="s">
        <v>436</v>
      </c>
    </row>
    <row r="69" spans="1:12" x14ac:dyDescent="0.2">
      <c r="A69" s="1" t="s">
        <v>437</v>
      </c>
      <c r="B69" s="2" t="str">
        <f>HYPERLINK("https://docket.philalegal.org/cgi-bin/proxy.pl?ct=220601131","220601131")</f>
        <v>220601131</v>
      </c>
      <c r="C69" s="3" t="s">
        <v>185</v>
      </c>
      <c r="D69" s="3" t="s">
        <v>216</v>
      </c>
      <c r="E69" s="3" t="s">
        <v>187</v>
      </c>
      <c r="F69" s="3" t="s">
        <v>210</v>
      </c>
      <c r="G69" s="3" t="s">
        <v>3862</v>
      </c>
      <c r="H69" s="3" t="s">
        <v>438</v>
      </c>
      <c r="I69" s="3" t="s">
        <v>439</v>
      </c>
      <c r="J69" s="3" t="s">
        <v>334</v>
      </c>
      <c r="K69" s="3">
        <v>123214400</v>
      </c>
      <c r="L69" s="3" t="s">
        <v>440</v>
      </c>
    </row>
    <row r="70" spans="1:12" x14ac:dyDescent="0.2">
      <c r="A70" s="1" t="s">
        <v>441</v>
      </c>
      <c r="B70" s="2" t="str">
        <f>HYPERLINK("https://docket.philalegal.org/cgi-bin/proxy.pl?ct=170104295","170104295")</f>
        <v>170104295</v>
      </c>
      <c r="C70" s="3" t="s">
        <v>442</v>
      </c>
      <c r="D70" s="3" t="s">
        <v>18</v>
      </c>
      <c r="E70" s="3" t="s">
        <v>443</v>
      </c>
      <c r="F70" s="3" t="s">
        <v>173</v>
      </c>
      <c r="G70" s="3" t="s">
        <v>3616</v>
      </c>
      <c r="H70" s="3" t="s">
        <v>444</v>
      </c>
      <c r="I70" s="3"/>
      <c r="J70" s="3" t="s">
        <v>445</v>
      </c>
      <c r="K70" s="3">
        <v>884604630</v>
      </c>
      <c r="L70" s="3" t="s">
        <v>446</v>
      </c>
    </row>
    <row r="71" spans="1:12" x14ac:dyDescent="0.2">
      <c r="A71" s="1" t="s">
        <v>447</v>
      </c>
      <c r="B71" s="2" t="str">
        <f>HYPERLINK("https://docket.philalegal.org/cgi-bin/proxy.pl?ct=220401187","220401187")</f>
        <v>220401187</v>
      </c>
      <c r="C71" s="3" t="s">
        <v>448</v>
      </c>
      <c r="D71" s="3" t="s">
        <v>18</v>
      </c>
      <c r="E71" s="3" t="s">
        <v>252</v>
      </c>
      <c r="F71" s="3" t="s">
        <v>36</v>
      </c>
      <c r="G71" s="3" t="s">
        <v>3617</v>
      </c>
      <c r="H71" s="3" t="s">
        <v>449</v>
      </c>
      <c r="I71" s="3"/>
      <c r="J71" s="3" t="s">
        <v>450</v>
      </c>
      <c r="K71" s="3">
        <v>323244900</v>
      </c>
      <c r="L71" s="3" t="s">
        <v>451</v>
      </c>
    </row>
    <row r="72" spans="1:12" x14ac:dyDescent="0.2">
      <c r="A72" s="1" t="s">
        <v>452</v>
      </c>
      <c r="B72" s="2" t="str">
        <f>HYPERLINK("https://docket.philalegal.org/cgi-bin/proxy.pl?ct=221001185","221001185")</f>
        <v>221001185</v>
      </c>
      <c r="C72" s="3" t="s">
        <v>453</v>
      </c>
      <c r="D72" s="3" t="s">
        <v>216</v>
      </c>
      <c r="E72" s="3" t="s">
        <v>194</v>
      </c>
      <c r="F72" s="3" t="s">
        <v>454</v>
      </c>
      <c r="G72" s="3" t="s">
        <v>3618</v>
      </c>
      <c r="H72" s="3" t="s">
        <v>455</v>
      </c>
      <c r="I72" s="3"/>
      <c r="J72" s="3" t="s">
        <v>456</v>
      </c>
      <c r="K72" s="3">
        <v>482087900</v>
      </c>
      <c r="L72" s="3" t="s">
        <v>457</v>
      </c>
    </row>
    <row r="73" spans="1:12" x14ac:dyDescent="0.2">
      <c r="A73" s="1" t="s">
        <v>458</v>
      </c>
      <c r="B73" s="2" t="str">
        <f>HYPERLINK("https://docket.philalegal.org/cgi-bin/proxy.pl?ct=200701909","200701909")</f>
        <v>200701909</v>
      </c>
      <c r="C73" s="3" t="s">
        <v>459</v>
      </c>
      <c r="D73" s="3" t="s">
        <v>216</v>
      </c>
      <c r="E73" s="3" t="s">
        <v>460</v>
      </c>
      <c r="F73" s="3" t="s">
        <v>461</v>
      </c>
      <c r="G73" s="3" t="s">
        <v>462</v>
      </c>
      <c r="H73" s="3" t="s">
        <v>462</v>
      </c>
      <c r="I73" s="3" t="s">
        <v>463</v>
      </c>
      <c r="J73" s="3" t="s">
        <v>464</v>
      </c>
      <c r="K73" s="3" t="s">
        <v>465</v>
      </c>
      <c r="L73" s="3" t="s">
        <v>466</v>
      </c>
    </row>
    <row r="74" spans="1:12" x14ac:dyDescent="0.2">
      <c r="A74" s="1" t="s">
        <v>467</v>
      </c>
      <c r="B74" s="2" t="str">
        <f>HYPERLINK("https://docket.philalegal.org/cgi-bin/proxy.pl?ct=160800533","160800533")</f>
        <v>160800533</v>
      </c>
      <c r="C74" s="3" t="s">
        <v>468</v>
      </c>
      <c r="D74" s="3" t="s">
        <v>18</v>
      </c>
      <c r="E74" s="3" t="s">
        <v>305</v>
      </c>
      <c r="F74" s="3" t="s">
        <v>469</v>
      </c>
      <c r="G74" s="3"/>
      <c r="H74" s="3" t="s">
        <v>470</v>
      </c>
      <c r="I74" s="3"/>
      <c r="J74" s="3" t="s">
        <v>471</v>
      </c>
      <c r="K74" s="3">
        <v>471065400</v>
      </c>
      <c r="L74" s="3" t="s">
        <v>472</v>
      </c>
    </row>
    <row r="75" spans="1:12" x14ac:dyDescent="0.2">
      <c r="A75" s="1" t="s">
        <v>473</v>
      </c>
      <c r="B75" s="2" t="str">
        <f>HYPERLINK("https://docket.philalegal.org/cgi-bin/proxy.pl?ct=220802105","220802105")</f>
        <v>220802105</v>
      </c>
      <c r="C75" s="3" t="s">
        <v>474</v>
      </c>
      <c r="D75" s="3" t="s">
        <v>13</v>
      </c>
      <c r="E75" s="3" t="s">
        <v>475</v>
      </c>
      <c r="F75" s="3" t="s">
        <v>476</v>
      </c>
      <c r="G75" s="3" t="s">
        <v>3863</v>
      </c>
      <c r="H75" s="3" t="s">
        <v>477</v>
      </c>
      <c r="I75" s="3"/>
      <c r="J75" s="3" t="s">
        <v>478</v>
      </c>
      <c r="K75" s="3">
        <v>292255200</v>
      </c>
      <c r="L75" s="3" t="s">
        <v>479</v>
      </c>
    </row>
    <row r="76" spans="1:12" x14ac:dyDescent="0.2">
      <c r="A76" s="1" t="s">
        <v>480</v>
      </c>
      <c r="B76" s="2" t="str">
        <f>HYPERLINK("https://docket.philalegal.org/cgi-bin/proxy.pl?ct=150700227","150700227")</f>
        <v>150700227</v>
      </c>
      <c r="C76" s="3" t="s">
        <v>481</v>
      </c>
      <c r="D76" s="3" t="s">
        <v>13</v>
      </c>
      <c r="E76" s="3" t="s">
        <v>35</v>
      </c>
      <c r="F76" s="3" t="s">
        <v>36</v>
      </c>
      <c r="G76" s="3" t="s">
        <v>482</v>
      </c>
      <c r="H76" s="3" t="s">
        <v>482</v>
      </c>
      <c r="I76" s="3" t="s">
        <v>168</v>
      </c>
      <c r="J76" s="3" t="s">
        <v>483</v>
      </c>
      <c r="K76" s="3">
        <v>451403800</v>
      </c>
      <c r="L76" s="3" t="s">
        <v>484</v>
      </c>
    </row>
    <row r="77" spans="1:12" x14ac:dyDescent="0.2">
      <c r="A77" s="1" t="s">
        <v>485</v>
      </c>
      <c r="B77" s="2" t="str">
        <f>HYPERLINK("https://docket.philalegal.org/cgi-bin/proxy.pl?ct=161103082","161103082")</f>
        <v>161103082</v>
      </c>
      <c r="C77" s="3" t="s">
        <v>486</v>
      </c>
      <c r="D77" s="3" t="s">
        <v>18</v>
      </c>
      <c r="E77" s="3" t="s">
        <v>305</v>
      </c>
      <c r="F77" s="3" t="s">
        <v>210</v>
      </c>
      <c r="G77" s="3" t="s">
        <v>3619</v>
      </c>
      <c r="H77" s="3" t="s">
        <v>487</v>
      </c>
      <c r="I77" s="3"/>
      <c r="J77" s="3" t="s">
        <v>488</v>
      </c>
      <c r="K77" s="3">
        <v>363012500</v>
      </c>
      <c r="L77" s="3" t="s">
        <v>489</v>
      </c>
    </row>
    <row r="78" spans="1:12" x14ac:dyDescent="0.2">
      <c r="A78" s="1" t="s">
        <v>490</v>
      </c>
      <c r="B78" s="2" t="str">
        <f>HYPERLINK("https://docket.philalegal.org/cgi-bin/proxy.pl?ct=170302754","170302754")</f>
        <v>170302754</v>
      </c>
      <c r="C78" s="3" t="s">
        <v>185</v>
      </c>
      <c r="D78" s="3" t="s">
        <v>64</v>
      </c>
      <c r="E78" s="3" t="s">
        <v>187</v>
      </c>
      <c r="F78" s="3" t="s">
        <v>210</v>
      </c>
      <c r="G78" s="3" t="s">
        <v>3864</v>
      </c>
      <c r="H78" s="3" t="s">
        <v>491</v>
      </c>
      <c r="I78" s="3"/>
      <c r="J78" s="3" t="s">
        <v>492</v>
      </c>
      <c r="K78" s="3">
        <v>181079700</v>
      </c>
      <c r="L78" s="3" t="s">
        <v>493</v>
      </c>
    </row>
    <row r="79" spans="1:12" x14ac:dyDescent="0.2">
      <c r="A79" s="1" t="s">
        <v>494</v>
      </c>
      <c r="B79" s="2" t="str">
        <f>HYPERLINK("https://docket.philalegal.org/cgi-bin/proxy.pl?ct=190101361","190101361")</f>
        <v>190101361</v>
      </c>
      <c r="C79" s="3" t="s">
        <v>495</v>
      </c>
      <c r="D79" s="3" t="s">
        <v>13</v>
      </c>
      <c r="E79" s="3" t="s">
        <v>496</v>
      </c>
      <c r="F79" s="3" t="s">
        <v>497</v>
      </c>
      <c r="G79" s="3" t="s">
        <v>3865</v>
      </c>
      <c r="H79" s="3" t="s">
        <v>498</v>
      </c>
      <c r="I79" s="3"/>
      <c r="J79" s="3" t="s">
        <v>499</v>
      </c>
      <c r="K79" s="3">
        <v>471115500</v>
      </c>
      <c r="L79" s="3" t="s">
        <v>500</v>
      </c>
    </row>
    <row r="80" spans="1:12" x14ac:dyDescent="0.2">
      <c r="A80" s="1" t="s">
        <v>501</v>
      </c>
      <c r="B80" s="2" t="str">
        <f>HYPERLINK("https://docket.philalegal.org/cgi-bin/proxy.pl?ct=210502492","210502492")</f>
        <v>210502492</v>
      </c>
      <c r="C80" s="3" t="s">
        <v>502</v>
      </c>
      <c r="D80" s="3" t="s">
        <v>88</v>
      </c>
      <c r="E80" s="3" t="s">
        <v>35</v>
      </c>
      <c r="F80" s="3" t="s">
        <v>36</v>
      </c>
      <c r="G80" s="3" t="s">
        <v>503</v>
      </c>
      <c r="H80" s="3" t="s">
        <v>503</v>
      </c>
      <c r="I80" s="3"/>
      <c r="J80" s="3" t="s">
        <v>504</v>
      </c>
      <c r="K80" s="3" t="s">
        <v>505</v>
      </c>
      <c r="L80" s="3" t="s">
        <v>506</v>
      </c>
    </row>
    <row r="81" spans="1:12" x14ac:dyDescent="0.2">
      <c r="A81" s="1" t="s">
        <v>507</v>
      </c>
      <c r="B81" s="2" t="str">
        <f>HYPERLINK("https://docket.philalegal.org/cgi-bin/proxy.pl?ct=171102438","171102438")</f>
        <v>171102438</v>
      </c>
      <c r="C81" s="3" t="s">
        <v>508</v>
      </c>
      <c r="D81" s="3" t="s">
        <v>18</v>
      </c>
      <c r="E81" s="3" t="s">
        <v>509</v>
      </c>
      <c r="F81" s="3" t="s">
        <v>173</v>
      </c>
      <c r="G81" s="3" t="s">
        <v>3793</v>
      </c>
      <c r="H81" s="3" t="s">
        <v>510</v>
      </c>
      <c r="I81" s="3"/>
      <c r="J81" s="3" t="s">
        <v>511</v>
      </c>
      <c r="K81" s="3" t="s">
        <v>512</v>
      </c>
      <c r="L81" s="3" t="s">
        <v>513</v>
      </c>
    </row>
    <row r="82" spans="1:12" x14ac:dyDescent="0.2">
      <c r="A82" s="1" t="s">
        <v>514</v>
      </c>
      <c r="B82" s="2" t="str">
        <f>HYPERLINK("https://docket.philalegal.org/cgi-bin/proxy.pl?ct=181001985","181001985")</f>
        <v>181001985</v>
      </c>
      <c r="C82" s="3" t="s">
        <v>185</v>
      </c>
      <c r="D82" s="3" t="s">
        <v>13</v>
      </c>
      <c r="E82" s="3" t="s">
        <v>187</v>
      </c>
      <c r="F82" s="3" t="s">
        <v>210</v>
      </c>
      <c r="G82" s="3" t="s">
        <v>3620</v>
      </c>
      <c r="H82" s="3" t="s">
        <v>515</v>
      </c>
      <c r="I82" s="3" t="s">
        <v>516</v>
      </c>
      <c r="J82" s="3" t="s">
        <v>517</v>
      </c>
      <c r="K82" s="3">
        <v>291325400</v>
      </c>
      <c r="L82" s="3" t="s">
        <v>518</v>
      </c>
    </row>
    <row r="83" spans="1:12" x14ac:dyDescent="0.2">
      <c r="A83" s="1" t="s">
        <v>519</v>
      </c>
      <c r="B83" s="2" t="str">
        <f>HYPERLINK("https://docket.philalegal.org/cgi-bin/proxy.pl?ct=150801525","150801525")</f>
        <v>150801525</v>
      </c>
      <c r="C83" s="3" t="s">
        <v>520</v>
      </c>
      <c r="D83" s="3" t="s">
        <v>13</v>
      </c>
      <c r="E83" s="3" t="s">
        <v>521</v>
      </c>
      <c r="F83" s="3" t="s">
        <v>36</v>
      </c>
      <c r="G83" s="3" t="s">
        <v>3866</v>
      </c>
      <c r="H83" s="3" t="s">
        <v>522</v>
      </c>
      <c r="I83" s="3"/>
      <c r="J83" s="3" t="s">
        <v>523</v>
      </c>
      <c r="K83" s="3">
        <v>112001600</v>
      </c>
      <c r="L83" s="3" t="s">
        <v>133</v>
      </c>
    </row>
    <row r="84" spans="1:12" x14ac:dyDescent="0.2">
      <c r="A84" s="1" t="s">
        <v>524</v>
      </c>
      <c r="B84" s="2" t="str">
        <f>HYPERLINK("https://docket.philalegal.org/cgi-bin/proxy.pl?ct=150703203","150703203")</f>
        <v>150703203</v>
      </c>
      <c r="C84" s="3" t="s">
        <v>525</v>
      </c>
      <c r="D84" s="3" t="s">
        <v>152</v>
      </c>
      <c r="E84" s="3" t="s">
        <v>526</v>
      </c>
      <c r="F84" s="3" t="s">
        <v>36</v>
      </c>
      <c r="G84" s="3" t="s">
        <v>527</v>
      </c>
      <c r="H84" s="3" t="s">
        <v>527</v>
      </c>
      <c r="I84" s="3" t="s">
        <v>168</v>
      </c>
      <c r="J84" s="3" t="s">
        <v>528</v>
      </c>
      <c r="K84" s="3">
        <v>292188700</v>
      </c>
      <c r="L84" s="3" t="s">
        <v>529</v>
      </c>
    </row>
    <row r="85" spans="1:12" x14ac:dyDescent="0.2">
      <c r="A85" s="1" t="s">
        <v>530</v>
      </c>
      <c r="B85" s="2" t="str">
        <f>HYPERLINK("https://docket.philalegal.org/cgi-bin/proxy.pl?ct=160504133","160504133")</f>
        <v>160504133</v>
      </c>
      <c r="C85" s="3" t="s">
        <v>531</v>
      </c>
      <c r="D85" s="3" t="s">
        <v>13</v>
      </c>
      <c r="E85" s="3" t="s">
        <v>532</v>
      </c>
      <c r="F85" s="3" t="s">
        <v>533</v>
      </c>
      <c r="G85" s="3" t="s">
        <v>3867</v>
      </c>
      <c r="H85" s="3" t="s">
        <v>534</v>
      </c>
      <c r="I85" s="3" t="s">
        <v>535</v>
      </c>
      <c r="J85" s="3" t="s">
        <v>536</v>
      </c>
      <c r="K85" s="3">
        <v>883309000</v>
      </c>
      <c r="L85" s="3" t="s">
        <v>537</v>
      </c>
    </row>
    <row r="86" spans="1:12" x14ac:dyDescent="0.2">
      <c r="A86" s="1" t="s">
        <v>538</v>
      </c>
      <c r="B86" s="2" t="str">
        <f>HYPERLINK("https://docket.philalegal.org/cgi-bin/proxy.pl?ct=171003348","171003348")</f>
        <v>171003348</v>
      </c>
      <c r="C86" s="3" t="s">
        <v>185</v>
      </c>
      <c r="D86" s="3" t="s">
        <v>13</v>
      </c>
      <c r="E86" s="3" t="s">
        <v>187</v>
      </c>
      <c r="F86" s="3" t="s">
        <v>210</v>
      </c>
      <c r="G86" s="3" t="s">
        <v>3621</v>
      </c>
      <c r="H86" s="3" t="s">
        <v>539</v>
      </c>
      <c r="I86" s="3" t="s">
        <v>540</v>
      </c>
      <c r="J86" s="3" t="s">
        <v>541</v>
      </c>
      <c r="K86" s="3">
        <v>141148400</v>
      </c>
      <c r="L86" s="3" t="s">
        <v>542</v>
      </c>
    </row>
    <row r="87" spans="1:12" x14ac:dyDescent="0.2">
      <c r="A87" s="1" t="s">
        <v>543</v>
      </c>
      <c r="B87" s="2" t="str">
        <f>HYPERLINK("https://docket.philalegal.org/cgi-bin/proxy.pl?ct=140902175","140902175")</f>
        <v>140902175</v>
      </c>
      <c r="C87" s="3" t="s">
        <v>544</v>
      </c>
      <c r="D87" s="3" t="s">
        <v>18</v>
      </c>
      <c r="E87" s="3" t="s">
        <v>35</v>
      </c>
      <c r="F87" s="3" t="s">
        <v>36</v>
      </c>
      <c r="G87" s="3" t="s">
        <v>3622</v>
      </c>
      <c r="H87" s="3" t="s">
        <v>545</v>
      </c>
      <c r="I87" s="3" t="s">
        <v>282</v>
      </c>
      <c r="J87" s="3" t="s">
        <v>546</v>
      </c>
      <c r="K87" s="3">
        <v>871172050</v>
      </c>
      <c r="L87" s="3" t="s">
        <v>547</v>
      </c>
    </row>
    <row r="88" spans="1:12" x14ac:dyDescent="0.2">
      <c r="A88" s="1" t="s">
        <v>548</v>
      </c>
      <c r="B88" s="2" t="str">
        <f>HYPERLINK("https://docket.philalegal.org/cgi-bin/proxy.pl?ct=120502238","120502238")</f>
        <v>120502238</v>
      </c>
      <c r="C88" s="3" t="s">
        <v>549</v>
      </c>
      <c r="D88" s="3" t="s">
        <v>88</v>
      </c>
      <c r="E88" s="3" t="s">
        <v>550</v>
      </c>
      <c r="F88" s="3" t="s">
        <v>551</v>
      </c>
      <c r="G88" s="3"/>
      <c r="H88" s="3" t="s">
        <v>552</v>
      </c>
      <c r="I88" s="3"/>
      <c r="J88" s="3" t="s">
        <v>553</v>
      </c>
      <c r="K88" s="3">
        <v>775182800</v>
      </c>
      <c r="L88" s="3" t="s">
        <v>554</v>
      </c>
    </row>
    <row r="89" spans="1:12" x14ac:dyDescent="0.2">
      <c r="A89" s="1" t="s">
        <v>555</v>
      </c>
      <c r="B89" s="2" t="str">
        <f>HYPERLINK("https://docket.philalegal.org/cgi-bin/proxy.pl?ct=160700606","160700606")</f>
        <v>160700606</v>
      </c>
      <c r="C89" s="3" t="s">
        <v>556</v>
      </c>
      <c r="D89" s="3" t="s">
        <v>13</v>
      </c>
      <c r="E89" s="3" t="s">
        <v>305</v>
      </c>
      <c r="F89" s="3" t="s">
        <v>20</v>
      </c>
      <c r="G89" s="3"/>
      <c r="H89" s="3" t="s">
        <v>557</v>
      </c>
      <c r="I89" s="3"/>
      <c r="J89" s="3" t="s">
        <v>155</v>
      </c>
      <c r="K89" s="3">
        <v>871548050</v>
      </c>
      <c r="L89" s="3" t="s">
        <v>558</v>
      </c>
    </row>
    <row r="90" spans="1:12" x14ac:dyDescent="0.2">
      <c r="A90" s="1" t="s">
        <v>559</v>
      </c>
      <c r="B90" s="2" t="str">
        <f>HYPERLINK("https://docket.philalegal.org/cgi-bin/proxy.pl?ct=180902609","180902609")</f>
        <v>180902609</v>
      </c>
      <c r="C90" s="3" t="s">
        <v>185</v>
      </c>
      <c r="D90" s="3" t="s">
        <v>18</v>
      </c>
      <c r="E90" s="3" t="s">
        <v>187</v>
      </c>
      <c r="F90" s="3" t="s">
        <v>210</v>
      </c>
      <c r="G90" s="3" t="s">
        <v>3785</v>
      </c>
      <c r="H90" s="3" t="s">
        <v>560</v>
      </c>
      <c r="I90" s="3" t="s">
        <v>561</v>
      </c>
      <c r="J90" s="3" t="s">
        <v>562</v>
      </c>
      <c r="K90" s="3">
        <v>363294400</v>
      </c>
      <c r="L90" s="3" t="s">
        <v>267</v>
      </c>
    </row>
    <row r="91" spans="1:12" x14ac:dyDescent="0.2">
      <c r="A91" s="1" t="s">
        <v>563</v>
      </c>
      <c r="B91" s="2" t="str">
        <f>HYPERLINK("https://docket.philalegal.org/cgi-bin/proxy.pl?ct=160802694","160802694")</f>
        <v>160802694</v>
      </c>
      <c r="C91" s="3" t="s">
        <v>564</v>
      </c>
      <c r="D91" s="3" t="s">
        <v>88</v>
      </c>
      <c r="E91" s="3" t="s">
        <v>565</v>
      </c>
      <c r="F91" s="3" t="s">
        <v>566</v>
      </c>
      <c r="G91" s="3" t="s">
        <v>567</v>
      </c>
      <c r="H91" s="3" t="s">
        <v>567</v>
      </c>
      <c r="I91" s="3" t="s">
        <v>568</v>
      </c>
      <c r="J91" s="3" t="s">
        <v>569</v>
      </c>
      <c r="K91" s="3">
        <v>871233000</v>
      </c>
      <c r="L91" s="3" t="s">
        <v>570</v>
      </c>
    </row>
    <row r="92" spans="1:12" x14ac:dyDescent="0.2">
      <c r="A92" s="1" t="s">
        <v>571</v>
      </c>
      <c r="B92" s="2" t="str">
        <f>HYPERLINK("https://docket.philalegal.org/cgi-bin/proxy.pl?ct=160302288","160302288")</f>
        <v>160302288</v>
      </c>
      <c r="C92" s="3" t="s">
        <v>572</v>
      </c>
      <c r="D92" s="3" t="s">
        <v>152</v>
      </c>
      <c r="E92" s="3" t="s">
        <v>573</v>
      </c>
      <c r="F92" s="3" t="s">
        <v>14</v>
      </c>
      <c r="G92" s="3" t="s">
        <v>3692</v>
      </c>
      <c r="H92" s="3" t="s">
        <v>574</v>
      </c>
      <c r="I92" s="3"/>
      <c r="J92" s="3" t="s">
        <v>575</v>
      </c>
      <c r="K92" s="3">
        <v>871167500</v>
      </c>
      <c r="L92" s="3" t="s">
        <v>156</v>
      </c>
    </row>
    <row r="93" spans="1:12" x14ac:dyDescent="0.2">
      <c r="A93" s="1" t="s">
        <v>576</v>
      </c>
      <c r="B93" s="2" t="str">
        <f>HYPERLINK("https://docket.philalegal.org/cgi-bin/proxy.pl?ct=220502691","220502691")</f>
        <v>220502691</v>
      </c>
      <c r="C93" s="3" t="s">
        <v>325</v>
      </c>
      <c r="D93" s="3" t="s">
        <v>18</v>
      </c>
      <c r="E93" s="3" t="s">
        <v>326</v>
      </c>
      <c r="F93" s="3" t="s">
        <v>577</v>
      </c>
      <c r="G93" s="3" t="s">
        <v>3623</v>
      </c>
      <c r="H93" s="3" t="s">
        <v>578</v>
      </c>
      <c r="I93" s="3"/>
      <c r="J93" s="3" t="s">
        <v>579</v>
      </c>
      <c r="K93" s="3">
        <v>601010200</v>
      </c>
      <c r="L93" s="3" t="s">
        <v>580</v>
      </c>
    </row>
    <row r="94" spans="1:12" x14ac:dyDescent="0.2">
      <c r="A94" s="1" t="s">
        <v>581</v>
      </c>
      <c r="B94" s="2" t="str">
        <f>HYPERLINK("https://docket.philalegal.org/cgi-bin/proxy.pl?ct=140801917","140801917")</f>
        <v>140801917</v>
      </c>
      <c r="C94" s="3" t="s">
        <v>582</v>
      </c>
      <c r="D94" s="3" t="s">
        <v>18</v>
      </c>
      <c r="E94" s="3" t="s">
        <v>583</v>
      </c>
      <c r="F94" s="3" t="s">
        <v>173</v>
      </c>
      <c r="G94" s="3" t="s">
        <v>584</v>
      </c>
      <c r="H94" s="3" t="s">
        <v>584</v>
      </c>
      <c r="I94" s="3"/>
      <c r="J94" s="3" t="s">
        <v>585</v>
      </c>
      <c r="K94" s="3">
        <v>182301400</v>
      </c>
      <c r="L94" s="3" t="s">
        <v>586</v>
      </c>
    </row>
    <row r="95" spans="1:12" x14ac:dyDescent="0.2">
      <c r="A95" s="1" t="s">
        <v>587</v>
      </c>
      <c r="B95" s="2" t="str">
        <f>HYPERLINK("https://docket.philalegal.org/cgi-bin/proxy.pl?ct=230602912","230602912")</f>
        <v>230602912</v>
      </c>
      <c r="C95" s="3" t="s">
        <v>588</v>
      </c>
      <c r="D95" s="3" t="s">
        <v>208</v>
      </c>
      <c r="E95" s="3" t="s">
        <v>589</v>
      </c>
      <c r="F95" s="3" t="s">
        <v>210</v>
      </c>
      <c r="G95" s="3" t="s">
        <v>3624</v>
      </c>
      <c r="H95" s="3" t="s">
        <v>590</v>
      </c>
      <c r="I95" s="3"/>
      <c r="J95" s="3" t="s">
        <v>591</v>
      </c>
      <c r="K95" s="3">
        <v>885165720</v>
      </c>
      <c r="L95" s="3" t="s">
        <v>592</v>
      </c>
    </row>
    <row r="96" spans="1:12" x14ac:dyDescent="0.2">
      <c r="A96" s="1" t="s">
        <v>593</v>
      </c>
      <c r="B96" s="2" t="str">
        <f>HYPERLINK("https://docket.philalegal.org/cgi-bin/proxy.pl?ct=201002008","201002008")</f>
        <v>201002008</v>
      </c>
      <c r="C96" s="3" t="s">
        <v>594</v>
      </c>
      <c r="D96" s="3" t="s">
        <v>18</v>
      </c>
      <c r="E96" s="3" t="s">
        <v>595</v>
      </c>
      <c r="F96" s="3" t="s">
        <v>44</v>
      </c>
      <c r="G96" s="3"/>
      <c r="H96" s="3" t="s">
        <v>596</v>
      </c>
      <c r="I96" s="3" t="s">
        <v>597</v>
      </c>
      <c r="J96" s="3" t="s">
        <v>598</v>
      </c>
      <c r="K96" s="3" t="s">
        <v>599</v>
      </c>
      <c r="L96" s="3" t="s">
        <v>600</v>
      </c>
    </row>
    <row r="97" spans="1:12" x14ac:dyDescent="0.2">
      <c r="A97" s="1" t="s">
        <v>601</v>
      </c>
      <c r="B97" s="2" t="str">
        <f>HYPERLINK("https://docket.philalegal.org/cgi-bin/proxy.pl?ct=170600967","170600967")</f>
        <v>170600967</v>
      </c>
      <c r="C97" s="3" t="s">
        <v>602</v>
      </c>
      <c r="D97" s="3" t="s">
        <v>18</v>
      </c>
      <c r="E97" s="3" t="s">
        <v>35</v>
      </c>
      <c r="F97" s="3" t="s">
        <v>173</v>
      </c>
      <c r="G97" s="3" t="s">
        <v>3625</v>
      </c>
      <c r="H97" s="3" t="s">
        <v>603</v>
      </c>
      <c r="I97" s="3"/>
      <c r="J97" s="3" t="s">
        <v>604</v>
      </c>
      <c r="K97" s="3">
        <v>314103900</v>
      </c>
      <c r="L97" s="3" t="s">
        <v>605</v>
      </c>
    </row>
    <row r="98" spans="1:12" x14ac:dyDescent="0.2">
      <c r="A98" s="1" t="s">
        <v>606</v>
      </c>
      <c r="B98" s="2" t="str">
        <f>HYPERLINK("https://docket.philalegal.org/cgi-bin/proxy.pl?ct=150602680","150602680")</f>
        <v>150602680</v>
      </c>
      <c r="C98" s="3" t="s">
        <v>607</v>
      </c>
      <c r="D98" s="3" t="s">
        <v>64</v>
      </c>
      <c r="E98" s="3" t="s">
        <v>608</v>
      </c>
      <c r="F98" s="3" t="s">
        <v>173</v>
      </c>
      <c r="G98" s="3" t="s">
        <v>3626</v>
      </c>
      <c r="H98" s="3" t="s">
        <v>609</v>
      </c>
      <c r="I98" s="3" t="s">
        <v>282</v>
      </c>
      <c r="J98" s="3" t="s">
        <v>610</v>
      </c>
      <c r="K98" s="3">
        <v>642139700</v>
      </c>
      <c r="L98" s="3" t="s">
        <v>64</v>
      </c>
    </row>
    <row r="99" spans="1:12" x14ac:dyDescent="0.2">
      <c r="A99" s="1" t="s">
        <v>611</v>
      </c>
      <c r="B99" s="2" t="str">
        <f>HYPERLINK("https://docket.philalegal.org/cgi-bin/proxy.pl?ct=230501368","230501368")</f>
        <v>230501368</v>
      </c>
      <c r="C99" s="3" t="s">
        <v>612</v>
      </c>
      <c r="D99" s="3" t="s">
        <v>208</v>
      </c>
      <c r="E99" s="3" t="s">
        <v>35</v>
      </c>
      <c r="F99" s="3" t="s">
        <v>36</v>
      </c>
      <c r="G99" s="3" t="s">
        <v>3868</v>
      </c>
      <c r="H99" s="3" t="s">
        <v>613</v>
      </c>
      <c r="I99" s="3"/>
      <c r="J99" s="3" t="s">
        <v>614</v>
      </c>
      <c r="K99" s="3">
        <v>261350200</v>
      </c>
      <c r="L99" s="3" t="s">
        <v>615</v>
      </c>
    </row>
    <row r="100" spans="1:12" x14ac:dyDescent="0.2">
      <c r="A100" s="1" t="s">
        <v>616</v>
      </c>
      <c r="B100" s="2" t="str">
        <f>HYPERLINK("https://docket.philalegal.org/cgi-bin/proxy.pl?ct=230903256","230903256")</f>
        <v>230903256</v>
      </c>
      <c r="C100" s="3" t="s">
        <v>185</v>
      </c>
      <c r="D100" s="3" t="s">
        <v>208</v>
      </c>
      <c r="E100" s="3" t="s">
        <v>185</v>
      </c>
      <c r="F100" s="3" t="s">
        <v>188</v>
      </c>
      <c r="G100" s="3" t="s">
        <v>3627</v>
      </c>
      <c r="H100" s="3" t="s">
        <v>617</v>
      </c>
      <c r="I100" s="3"/>
      <c r="J100" s="3" t="s">
        <v>618</v>
      </c>
      <c r="K100" s="3">
        <v>122314900</v>
      </c>
      <c r="L100" s="3" t="s">
        <v>619</v>
      </c>
    </row>
    <row r="101" spans="1:12" x14ac:dyDescent="0.2">
      <c r="A101" s="1" t="s">
        <v>620</v>
      </c>
      <c r="B101" s="2" t="str">
        <f>HYPERLINK("https://docket.philalegal.org/cgi-bin/proxy.pl?ct=211001239","211001239")</f>
        <v>211001239</v>
      </c>
      <c r="C101" s="3" t="s">
        <v>621</v>
      </c>
      <c r="D101" s="3" t="s">
        <v>216</v>
      </c>
      <c r="E101" s="3" t="s">
        <v>595</v>
      </c>
      <c r="F101" s="3" t="s">
        <v>44</v>
      </c>
      <c r="G101" s="3" t="s">
        <v>622</v>
      </c>
      <c r="H101" s="3" t="s">
        <v>622</v>
      </c>
      <c r="I101" s="3" t="s">
        <v>623</v>
      </c>
      <c r="J101" s="3" t="s">
        <v>624</v>
      </c>
      <c r="K101" s="3" t="s">
        <v>625</v>
      </c>
      <c r="L101" s="3" t="s">
        <v>626</v>
      </c>
    </row>
    <row r="102" spans="1:12" x14ac:dyDescent="0.2">
      <c r="A102" s="1" t="s">
        <v>627</v>
      </c>
      <c r="B102" s="2" t="str">
        <f>HYPERLINK("https://docket.philalegal.org/cgi-bin/proxy.pl?ct=170303203","170303203")</f>
        <v>170303203</v>
      </c>
      <c r="C102" s="3" t="s">
        <v>628</v>
      </c>
      <c r="D102" s="3" t="s">
        <v>18</v>
      </c>
      <c r="E102" s="3" t="s">
        <v>629</v>
      </c>
      <c r="F102" s="3" t="s">
        <v>36</v>
      </c>
      <c r="G102" s="3" t="s">
        <v>3628</v>
      </c>
      <c r="H102" s="3" t="s">
        <v>630</v>
      </c>
      <c r="I102" s="3" t="s">
        <v>631</v>
      </c>
      <c r="J102" s="3" t="s">
        <v>632</v>
      </c>
      <c r="K102" s="3">
        <v>511024800</v>
      </c>
      <c r="L102" s="3" t="s">
        <v>633</v>
      </c>
    </row>
    <row r="103" spans="1:12" x14ac:dyDescent="0.2">
      <c r="A103" s="1" t="s">
        <v>634</v>
      </c>
      <c r="B103" s="2" t="str">
        <f>HYPERLINK("https://docket.philalegal.org/cgi-bin/proxy.pl?ct=160801008","160801008")</f>
        <v>160801008</v>
      </c>
      <c r="C103" s="3" t="s">
        <v>635</v>
      </c>
      <c r="D103" s="3" t="s">
        <v>64</v>
      </c>
      <c r="E103" s="3" t="s">
        <v>636</v>
      </c>
      <c r="F103" s="3" t="s">
        <v>637</v>
      </c>
      <c r="G103" s="3" t="s">
        <v>638</v>
      </c>
      <c r="H103" s="3" t="s">
        <v>638</v>
      </c>
      <c r="I103" s="3"/>
      <c r="J103" s="3" t="s">
        <v>639</v>
      </c>
      <c r="K103" s="3">
        <v>221196300</v>
      </c>
      <c r="L103" s="3" t="s">
        <v>640</v>
      </c>
    </row>
    <row r="104" spans="1:12" x14ac:dyDescent="0.2">
      <c r="A104" s="1" t="s">
        <v>641</v>
      </c>
      <c r="B104" s="2" t="str">
        <f>HYPERLINK("https://docket.philalegal.org/cgi-bin/proxy.pl?ct=221100410","221100410")</f>
        <v>221100410</v>
      </c>
      <c r="C104" s="3" t="s">
        <v>185</v>
      </c>
      <c r="D104" s="3" t="s">
        <v>216</v>
      </c>
      <c r="E104" s="3" t="s">
        <v>187</v>
      </c>
      <c r="F104" s="3" t="s">
        <v>188</v>
      </c>
      <c r="G104" s="3" t="s">
        <v>3629</v>
      </c>
      <c r="H104" s="3" t="s">
        <v>642</v>
      </c>
      <c r="I104" s="3" t="s">
        <v>643</v>
      </c>
      <c r="J104" s="3" t="s">
        <v>644</v>
      </c>
      <c r="K104" s="3">
        <v>323171600</v>
      </c>
      <c r="L104" s="3" t="s">
        <v>645</v>
      </c>
    </row>
    <row r="105" spans="1:12" x14ac:dyDescent="0.2">
      <c r="A105" s="1" t="s">
        <v>646</v>
      </c>
      <c r="B105" s="2" t="str">
        <f>HYPERLINK("https://docket.philalegal.org/cgi-bin/proxy.pl?ct=170102187","170102187")</f>
        <v>170102187</v>
      </c>
      <c r="C105" s="3" t="s">
        <v>647</v>
      </c>
      <c r="D105" s="3" t="s">
        <v>13</v>
      </c>
      <c r="E105" s="3" t="s">
        <v>648</v>
      </c>
      <c r="F105" s="3" t="s">
        <v>173</v>
      </c>
      <c r="G105" s="3" t="s">
        <v>3869</v>
      </c>
      <c r="H105" s="3" t="s">
        <v>649</v>
      </c>
      <c r="I105" s="3"/>
      <c r="J105" s="3" t="s">
        <v>650</v>
      </c>
      <c r="K105" s="3">
        <v>601012400</v>
      </c>
      <c r="L105" s="3" t="s">
        <v>651</v>
      </c>
    </row>
    <row r="106" spans="1:12" x14ac:dyDescent="0.2">
      <c r="A106" s="1" t="s">
        <v>652</v>
      </c>
      <c r="B106" s="2" t="str">
        <f>HYPERLINK("https://docket.philalegal.org/cgi-bin/proxy.pl?ct=180603556","180603556")</f>
        <v>180603556</v>
      </c>
      <c r="C106" s="3" t="s">
        <v>653</v>
      </c>
      <c r="D106" s="3" t="s">
        <v>13</v>
      </c>
      <c r="E106" s="3" t="s">
        <v>230</v>
      </c>
      <c r="F106" s="3" t="s">
        <v>173</v>
      </c>
      <c r="G106" s="3" t="s">
        <v>3870</v>
      </c>
      <c r="H106" s="3" t="s">
        <v>654</v>
      </c>
      <c r="I106" s="3" t="s">
        <v>655</v>
      </c>
      <c r="J106" s="3" t="s">
        <v>656</v>
      </c>
      <c r="K106" s="3">
        <v>881713605</v>
      </c>
      <c r="L106" s="3" t="s">
        <v>657</v>
      </c>
    </row>
    <row r="107" spans="1:12" x14ac:dyDescent="0.2">
      <c r="A107" s="1" t="s">
        <v>658</v>
      </c>
      <c r="B107" s="2" t="str">
        <f>HYPERLINK("https://docket.philalegal.org/cgi-bin/proxy.pl?ct=150403084","150403084")</f>
        <v>150403084</v>
      </c>
      <c r="C107" s="3" t="s">
        <v>659</v>
      </c>
      <c r="D107" s="3" t="s">
        <v>13</v>
      </c>
      <c r="E107" s="3" t="s">
        <v>35</v>
      </c>
      <c r="F107" s="3" t="s">
        <v>36</v>
      </c>
      <c r="G107" s="3" t="s">
        <v>3630</v>
      </c>
      <c r="H107" s="3" t="s">
        <v>660</v>
      </c>
      <c r="I107" s="3"/>
      <c r="J107" s="3" t="s">
        <v>661</v>
      </c>
      <c r="K107" s="3">
        <v>365200500</v>
      </c>
      <c r="L107" s="3" t="s">
        <v>662</v>
      </c>
    </row>
    <row r="108" spans="1:12" x14ac:dyDescent="0.2">
      <c r="A108" s="1" t="s">
        <v>663</v>
      </c>
      <c r="B108" s="2" t="str">
        <f>HYPERLINK("https://docket.philalegal.org/cgi-bin/proxy.pl?ct=220900919","220900919")</f>
        <v>220900919</v>
      </c>
      <c r="C108" s="3" t="s">
        <v>185</v>
      </c>
      <c r="D108" s="3" t="s">
        <v>18</v>
      </c>
      <c r="E108" s="3" t="s">
        <v>187</v>
      </c>
      <c r="F108" s="3" t="s">
        <v>210</v>
      </c>
      <c r="G108" s="3" t="s">
        <v>3631</v>
      </c>
      <c r="H108" s="3" t="s">
        <v>664</v>
      </c>
      <c r="I108" s="3"/>
      <c r="J108" s="3" t="s">
        <v>665</v>
      </c>
      <c r="K108" s="3">
        <v>291279800</v>
      </c>
      <c r="L108" s="3" t="s">
        <v>666</v>
      </c>
    </row>
    <row r="109" spans="1:12" x14ac:dyDescent="0.2">
      <c r="A109" s="1" t="s">
        <v>667</v>
      </c>
      <c r="B109" s="2" t="str">
        <f>HYPERLINK("https://docket.philalegal.org/cgi-bin/proxy.pl?ct=180103425","180103425")</f>
        <v>180103425</v>
      </c>
      <c r="C109" s="3" t="s">
        <v>668</v>
      </c>
      <c r="D109" s="3" t="s">
        <v>13</v>
      </c>
      <c r="E109" s="3" t="s">
        <v>669</v>
      </c>
      <c r="F109" s="3" t="s">
        <v>173</v>
      </c>
      <c r="G109" s="3" t="s">
        <v>3632</v>
      </c>
      <c r="H109" s="3" t="s">
        <v>670</v>
      </c>
      <c r="I109" s="3"/>
      <c r="J109" s="3" t="s">
        <v>671</v>
      </c>
      <c r="K109" s="3">
        <v>242036700</v>
      </c>
      <c r="L109" s="3" t="s">
        <v>672</v>
      </c>
    </row>
    <row r="110" spans="1:12" x14ac:dyDescent="0.2">
      <c r="A110" s="1" t="s">
        <v>673</v>
      </c>
      <c r="B110" s="2" t="str">
        <f>HYPERLINK("https://docket.philalegal.org/cgi-bin/proxy.pl?ct=230402553","230402553")</f>
        <v>230402553</v>
      </c>
      <c r="C110" s="3" t="s">
        <v>674</v>
      </c>
      <c r="D110" s="3" t="s">
        <v>208</v>
      </c>
      <c r="E110" s="3" t="s">
        <v>675</v>
      </c>
      <c r="F110" s="3" t="s">
        <v>259</v>
      </c>
      <c r="G110" s="3" t="s">
        <v>462</v>
      </c>
      <c r="H110" s="3" t="s">
        <v>676</v>
      </c>
      <c r="I110" s="3"/>
      <c r="J110" s="3" t="s">
        <v>677</v>
      </c>
      <c r="K110" s="3" t="s">
        <v>678</v>
      </c>
      <c r="L110" s="3" t="s">
        <v>679</v>
      </c>
    </row>
    <row r="111" spans="1:12" x14ac:dyDescent="0.2">
      <c r="A111" s="1" t="s">
        <v>680</v>
      </c>
      <c r="B111" s="2" t="str">
        <f>HYPERLINK("https://docket.philalegal.org/cgi-bin/proxy.pl?ct=220100030","220100030")</f>
        <v>220100030</v>
      </c>
      <c r="C111" s="3" t="s">
        <v>681</v>
      </c>
      <c r="D111" s="3" t="s">
        <v>216</v>
      </c>
      <c r="E111" s="3" t="s">
        <v>35</v>
      </c>
      <c r="F111" s="3" t="s">
        <v>36</v>
      </c>
      <c r="G111" s="3" t="s">
        <v>3871</v>
      </c>
      <c r="H111" s="3" t="s">
        <v>682</v>
      </c>
      <c r="I111" s="3" t="s">
        <v>683</v>
      </c>
      <c r="J111" s="3" t="s">
        <v>684</v>
      </c>
      <c r="K111" s="3">
        <v>123131925</v>
      </c>
      <c r="L111" s="3" t="s">
        <v>685</v>
      </c>
    </row>
    <row r="112" spans="1:12" x14ac:dyDescent="0.2">
      <c r="A112" s="1" t="s">
        <v>686</v>
      </c>
      <c r="B112" s="2" t="str">
        <f>HYPERLINK("https://docket.philalegal.org/cgi-bin/proxy.pl?ct=190100730","190100730")</f>
        <v>190100730</v>
      </c>
      <c r="C112" s="3" t="s">
        <v>687</v>
      </c>
      <c r="D112" s="3" t="s">
        <v>18</v>
      </c>
      <c r="E112" s="3" t="s">
        <v>270</v>
      </c>
      <c r="F112" s="3" t="s">
        <v>688</v>
      </c>
      <c r="G112" s="3" t="s">
        <v>3633</v>
      </c>
      <c r="H112" s="3" t="s">
        <v>272</v>
      </c>
      <c r="I112" s="3" t="s">
        <v>689</v>
      </c>
      <c r="J112" s="3" t="s">
        <v>273</v>
      </c>
      <c r="K112" s="3">
        <v>213117900</v>
      </c>
      <c r="L112" s="3" t="s">
        <v>690</v>
      </c>
    </row>
    <row r="113" spans="1:12" x14ac:dyDescent="0.2">
      <c r="A113" s="1" t="s">
        <v>691</v>
      </c>
      <c r="B113" s="2" t="str">
        <f>HYPERLINK("https://docket.philalegal.org/cgi-bin/proxy.pl?ct=190402958","190402958")</f>
        <v>190402958</v>
      </c>
      <c r="C113" s="3" t="s">
        <v>692</v>
      </c>
      <c r="D113" s="3" t="s">
        <v>13</v>
      </c>
      <c r="E113" s="3" t="s">
        <v>35</v>
      </c>
      <c r="F113" s="3" t="s">
        <v>36</v>
      </c>
      <c r="G113" s="3" t="s">
        <v>693</v>
      </c>
      <c r="H113" s="3" t="s">
        <v>693</v>
      </c>
      <c r="I113" s="3" t="s">
        <v>694</v>
      </c>
      <c r="J113" s="3" t="s">
        <v>695</v>
      </c>
      <c r="K113" s="3" t="s">
        <v>696</v>
      </c>
      <c r="L113" s="3" t="s">
        <v>697</v>
      </c>
    </row>
    <row r="114" spans="1:12" x14ac:dyDescent="0.2">
      <c r="A114" s="1" t="s">
        <v>698</v>
      </c>
      <c r="B114" s="2" t="str">
        <f>HYPERLINK("https://docket.philalegal.org/cgi-bin/proxy.pl?ct=221200811","221200811")</f>
        <v>221200811</v>
      </c>
      <c r="C114" s="3" t="s">
        <v>699</v>
      </c>
      <c r="D114" s="3" t="s">
        <v>216</v>
      </c>
      <c r="E114" s="3" t="s">
        <v>252</v>
      </c>
      <c r="F114" s="3" t="s">
        <v>36</v>
      </c>
      <c r="G114" s="3" t="s">
        <v>700</v>
      </c>
      <c r="H114" s="3" t="s">
        <v>700</v>
      </c>
      <c r="I114" s="3"/>
      <c r="J114" s="3" t="s">
        <v>701</v>
      </c>
      <c r="K114" s="3">
        <v>242234100</v>
      </c>
      <c r="L114" s="3" t="s">
        <v>702</v>
      </c>
    </row>
    <row r="115" spans="1:12" x14ac:dyDescent="0.2">
      <c r="A115" s="1" t="s">
        <v>703</v>
      </c>
      <c r="B115" s="2" t="str">
        <f>HYPERLINK("https://docket.philalegal.org/cgi-bin/proxy.pl?ct=190700260","190700260")</f>
        <v>190700260</v>
      </c>
      <c r="C115" s="3" t="s">
        <v>704</v>
      </c>
      <c r="D115" s="3" t="s">
        <v>88</v>
      </c>
      <c r="E115" s="3" t="s">
        <v>187</v>
      </c>
      <c r="F115" s="3" t="s">
        <v>20</v>
      </c>
      <c r="G115" s="3" t="s">
        <v>705</v>
      </c>
      <c r="H115" s="3" t="s">
        <v>705</v>
      </c>
      <c r="I115" s="3"/>
      <c r="J115" s="3" t="s">
        <v>706</v>
      </c>
      <c r="K115" s="3">
        <v>323194200</v>
      </c>
      <c r="L115" s="3" t="s">
        <v>707</v>
      </c>
    </row>
    <row r="116" spans="1:12" x14ac:dyDescent="0.2">
      <c r="A116" s="1" t="s">
        <v>708</v>
      </c>
      <c r="B116" s="2" t="str">
        <f>HYPERLINK("https://docket.philalegal.org/cgi-bin/proxy.pl?ct=170503155","170503155")</f>
        <v>170503155</v>
      </c>
      <c r="C116" s="3" t="s">
        <v>709</v>
      </c>
      <c r="D116" s="3" t="s">
        <v>88</v>
      </c>
      <c r="E116" s="3" t="s">
        <v>636</v>
      </c>
      <c r="F116" s="3" t="s">
        <v>710</v>
      </c>
      <c r="G116" s="3" t="s">
        <v>3634</v>
      </c>
      <c r="H116" s="3" t="s">
        <v>711</v>
      </c>
      <c r="I116" s="3" t="s">
        <v>712</v>
      </c>
      <c r="J116" s="3" t="s">
        <v>713</v>
      </c>
      <c r="K116" s="3" t="s">
        <v>714</v>
      </c>
      <c r="L116" s="3" t="s">
        <v>715</v>
      </c>
    </row>
    <row r="117" spans="1:12" x14ac:dyDescent="0.2">
      <c r="A117" s="1" t="s">
        <v>716</v>
      </c>
      <c r="B117" s="2" t="str">
        <f>HYPERLINK("https://docket.philalegal.org/cgi-bin/proxy.pl?ct=190902141","190902141")</f>
        <v>190902141</v>
      </c>
      <c r="C117" s="3" t="s">
        <v>717</v>
      </c>
      <c r="D117" s="3" t="s">
        <v>18</v>
      </c>
      <c r="E117" s="3" t="s">
        <v>319</v>
      </c>
      <c r="F117" s="3" t="s">
        <v>718</v>
      </c>
      <c r="G117" s="3"/>
      <c r="H117" s="3" t="s">
        <v>719</v>
      </c>
      <c r="I117" s="3" t="s">
        <v>720</v>
      </c>
      <c r="J117" s="3" t="s">
        <v>721</v>
      </c>
      <c r="K117" s="3">
        <v>292262500</v>
      </c>
      <c r="L117" s="3" t="s">
        <v>722</v>
      </c>
    </row>
    <row r="118" spans="1:12" x14ac:dyDescent="0.2">
      <c r="A118" s="1" t="s">
        <v>723</v>
      </c>
      <c r="B118" s="2" t="str">
        <f>HYPERLINK("https://docket.philalegal.org/cgi-bin/proxy.pl?ct=221200952","221200952")</f>
        <v>221200952</v>
      </c>
      <c r="C118" s="3" t="s">
        <v>724</v>
      </c>
      <c r="D118" s="3" t="s">
        <v>216</v>
      </c>
      <c r="E118" s="3" t="s">
        <v>725</v>
      </c>
      <c r="F118" s="3" t="s">
        <v>36</v>
      </c>
      <c r="G118" s="3" t="s">
        <v>3635</v>
      </c>
      <c r="H118" s="3" t="s">
        <v>726</v>
      </c>
      <c r="I118" s="3"/>
      <c r="J118" s="3" t="s">
        <v>727</v>
      </c>
      <c r="K118" s="3">
        <v>112051900</v>
      </c>
      <c r="L118" s="3" t="s">
        <v>728</v>
      </c>
    </row>
    <row r="119" spans="1:12" x14ac:dyDescent="0.2">
      <c r="A119" s="1" t="s">
        <v>729</v>
      </c>
      <c r="B119" s="2" t="str">
        <f>HYPERLINK("https://docket.philalegal.org/cgi-bin/proxy.pl?ct=140302716","140302716")</f>
        <v>140302716</v>
      </c>
      <c r="C119" s="3" t="s">
        <v>730</v>
      </c>
      <c r="D119" s="3" t="s">
        <v>64</v>
      </c>
      <c r="E119" s="3" t="s">
        <v>731</v>
      </c>
      <c r="F119" s="3" t="s">
        <v>732</v>
      </c>
      <c r="G119" s="3"/>
      <c r="H119" s="3" t="s">
        <v>733</v>
      </c>
      <c r="I119" s="3" t="s">
        <v>734</v>
      </c>
      <c r="J119" s="3" t="s">
        <v>735</v>
      </c>
      <c r="K119" s="3" t="s">
        <v>736</v>
      </c>
      <c r="L119" s="3" t="s">
        <v>737</v>
      </c>
    </row>
    <row r="120" spans="1:12" x14ac:dyDescent="0.2">
      <c r="A120" s="1" t="s">
        <v>738</v>
      </c>
      <c r="B120" s="2" t="str">
        <f>HYPERLINK("https://docket.philalegal.org/cgi-bin/proxy.pl?ct=231200108","231200108")</f>
        <v>231200108</v>
      </c>
      <c r="C120" s="3" t="s">
        <v>739</v>
      </c>
      <c r="D120" s="3" t="s">
        <v>216</v>
      </c>
      <c r="E120" s="3" t="s">
        <v>35</v>
      </c>
      <c r="F120" s="3" t="s">
        <v>36</v>
      </c>
      <c r="G120" s="3"/>
      <c r="H120" s="3" t="s">
        <v>740</v>
      </c>
      <c r="I120" s="3"/>
      <c r="J120" s="3" t="s">
        <v>741</v>
      </c>
      <c r="K120" s="3">
        <v>513121100</v>
      </c>
      <c r="L120" s="3" t="s">
        <v>742</v>
      </c>
    </row>
    <row r="121" spans="1:12" x14ac:dyDescent="0.2">
      <c r="A121" s="1" t="s">
        <v>743</v>
      </c>
      <c r="B121" s="2" t="str">
        <f>HYPERLINK("https://docket.philalegal.org/cgi-bin/proxy.pl?ct=160501523","160501523")</f>
        <v>160501523</v>
      </c>
      <c r="C121" s="3" t="s">
        <v>744</v>
      </c>
      <c r="D121" s="3" t="s">
        <v>13</v>
      </c>
      <c r="E121" s="3" t="s">
        <v>389</v>
      </c>
      <c r="F121" s="3" t="s">
        <v>745</v>
      </c>
      <c r="G121" s="3" t="s">
        <v>746</v>
      </c>
      <c r="H121" s="3" t="s">
        <v>746</v>
      </c>
      <c r="I121" s="3" t="s">
        <v>747</v>
      </c>
      <c r="J121" s="3" t="s">
        <v>748</v>
      </c>
      <c r="K121" s="3">
        <v>871203050</v>
      </c>
      <c r="L121" s="3" t="s">
        <v>749</v>
      </c>
    </row>
    <row r="122" spans="1:12" x14ac:dyDescent="0.2">
      <c r="A122" s="1" t="s">
        <v>750</v>
      </c>
      <c r="B122" s="2" t="str">
        <f>HYPERLINK("https://docket.philalegal.org/cgi-bin/proxy.pl?ct=140400047","140400047")</f>
        <v>140400047</v>
      </c>
      <c r="C122" s="3" t="s">
        <v>158</v>
      </c>
      <c r="D122" s="3" t="s">
        <v>13</v>
      </c>
      <c r="E122" s="3" t="s">
        <v>159</v>
      </c>
      <c r="F122" s="3" t="s">
        <v>160</v>
      </c>
      <c r="G122" s="3" t="s">
        <v>161</v>
      </c>
      <c r="H122" s="3" t="s">
        <v>161</v>
      </c>
      <c r="I122" s="3"/>
      <c r="J122" s="3" t="s">
        <v>751</v>
      </c>
      <c r="K122" s="3">
        <v>102437100</v>
      </c>
      <c r="L122" s="3" t="s">
        <v>752</v>
      </c>
    </row>
    <row r="123" spans="1:12" x14ac:dyDescent="0.2">
      <c r="A123" s="1" t="s">
        <v>753</v>
      </c>
      <c r="B123" s="2" t="str">
        <f>HYPERLINK("https://docket.philalegal.org/cgi-bin/proxy.pl?ct=220701670","220701670")</f>
        <v>220701670</v>
      </c>
      <c r="C123" s="3" t="s">
        <v>185</v>
      </c>
      <c r="D123" s="3" t="s">
        <v>88</v>
      </c>
      <c r="E123" s="3" t="s">
        <v>187</v>
      </c>
      <c r="F123" s="3" t="s">
        <v>210</v>
      </c>
      <c r="G123" s="3" t="s">
        <v>3636</v>
      </c>
      <c r="H123" s="3" t="s">
        <v>754</v>
      </c>
      <c r="I123" s="3"/>
      <c r="J123" s="3" t="s">
        <v>755</v>
      </c>
      <c r="K123" s="3">
        <v>365284700</v>
      </c>
      <c r="L123" s="3" t="s">
        <v>416</v>
      </c>
    </row>
    <row r="124" spans="1:12" x14ac:dyDescent="0.2">
      <c r="A124" s="1" t="s">
        <v>756</v>
      </c>
      <c r="B124" s="2" t="str">
        <f>HYPERLINK("https://docket.philalegal.org/cgi-bin/proxy.pl?ct=230400984","230400984")</f>
        <v>230400984</v>
      </c>
      <c r="C124" s="3" t="s">
        <v>757</v>
      </c>
      <c r="D124" s="3" t="s">
        <v>216</v>
      </c>
      <c r="E124" s="3" t="s">
        <v>758</v>
      </c>
      <c r="F124" s="3" t="s">
        <v>188</v>
      </c>
      <c r="G124" s="3"/>
      <c r="H124" s="3" t="s">
        <v>759</v>
      </c>
      <c r="I124" s="3" t="s">
        <v>760</v>
      </c>
      <c r="J124" s="3" t="s">
        <v>761</v>
      </c>
      <c r="K124" s="3">
        <v>131278100</v>
      </c>
      <c r="L124" s="3" t="s">
        <v>762</v>
      </c>
    </row>
    <row r="125" spans="1:12" x14ac:dyDescent="0.2">
      <c r="A125" s="1" t="s">
        <v>763</v>
      </c>
      <c r="B125" s="2" t="str">
        <f>HYPERLINK("https://docket.philalegal.org/cgi-bin/proxy.pl?ct=231102767","231102767")</f>
        <v>231102767</v>
      </c>
      <c r="C125" s="3" t="s">
        <v>764</v>
      </c>
      <c r="D125" s="3" t="s">
        <v>208</v>
      </c>
      <c r="E125" s="3" t="s">
        <v>765</v>
      </c>
      <c r="F125" s="3"/>
      <c r="G125" s="3" t="s">
        <v>766</v>
      </c>
      <c r="H125" s="3" t="s">
        <v>766</v>
      </c>
      <c r="I125" s="3"/>
      <c r="J125" s="3" t="s">
        <v>767</v>
      </c>
      <c r="K125" s="3">
        <v>243009100</v>
      </c>
      <c r="L125" s="3" t="s">
        <v>768</v>
      </c>
    </row>
    <row r="126" spans="1:12" x14ac:dyDescent="0.2">
      <c r="A126" s="1" t="s">
        <v>769</v>
      </c>
      <c r="B126" s="2" t="str">
        <f>HYPERLINK("https://docket.philalegal.org/cgi-bin/proxy.pl?ct=170301452","170301452")</f>
        <v>170301452</v>
      </c>
      <c r="C126" s="3" t="s">
        <v>185</v>
      </c>
      <c r="D126" s="3" t="s">
        <v>18</v>
      </c>
      <c r="E126" s="3" t="s">
        <v>187</v>
      </c>
      <c r="F126" s="3" t="s">
        <v>20</v>
      </c>
      <c r="G126" s="3" t="s">
        <v>770</v>
      </c>
      <c r="H126" s="3" t="s">
        <v>770</v>
      </c>
      <c r="I126" s="3"/>
      <c r="J126" s="3" t="s">
        <v>771</v>
      </c>
      <c r="K126" s="3" t="s">
        <v>772</v>
      </c>
      <c r="L126" s="3" t="s">
        <v>773</v>
      </c>
    </row>
    <row r="127" spans="1:12" x14ac:dyDescent="0.2">
      <c r="A127" s="1" t="s">
        <v>774</v>
      </c>
      <c r="B127" s="2" t="str">
        <f>HYPERLINK("https://docket.philalegal.org/cgi-bin/proxy.pl?ct=210500687","210500687")</f>
        <v>210500687</v>
      </c>
      <c r="C127" s="3" t="s">
        <v>775</v>
      </c>
      <c r="D127" s="3" t="s">
        <v>13</v>
      </c>
      <c r="E127" s="3" t="s">
        <v>319</v>
      </c>
      <c r="F127" s="3" t="s">
        <v>461</v>
      </c>
      <c r="G127" s="3"/>
      <c r="H127" s="3" t="s">
        <v>776</v>
      </c>
      <c r="I127" s="3"/>
      <c r="J127" s="3" t="s">
        <v>777</v>
      </c>
      <c r="K127" s="3">
        <v>885126260</v>
      </c>
      <c r="L127" s="3" t="s">
        <v>778</v>
      </c>
    </row>
    <row r="128" spans="1:12" x14ac:dyDescent="0.2">
      <c r="A128" s="1" t="s">
        <v>779</v>
      </c>
      <c r="B128" s="2" t="str">
        <f>HYPERLINK("https://docket.philalegal.org/cgi-bin/proxy.pl?ct=150703554","150703554")</f>
        <v>150703554</v>
      </c>
      <c r="C128" s="3" t="s">
        <v>780</v>
      </c>
      <c r="D128" s="3" t="s">
        <v>13</v>
      </c>
      <c r="E128" s="3" t="s">
        <v>781</v>
      </c>
      <c r="F128" s="3" t="s">
        <v>36</v>
      </c>
      <c r="G128" s="3" t="s">
        <v>3637</v>
      </c>
      <c r="H128" s="3" t="s">
        <v>782</v>
      </c>
      <c r="I128" s="3" t="s">
        <v>783</v>
      </c>
      <c r="J128" s="3" t="s">
        <v>784</v>
      </c>
      <c r="K128" s="3">
        <v>292203400</v>
      </c>
      <c r="L128" s="3" t="s">
        <v>785</v>
      </c>
    </row>
    <row r="129" spans="1:12" x14ac:dyDescent="0.2">
      <c r="A129" s="1" t="s">
        <v>786</v>
      </c>
      <c r="B129" s="2" t="str">
        <f>HYPERLINK("https://docket.philalegal.org/cgi-bin/proxy.pl?ct=170104343","170104343")</f>
        <v>170104343</v>
      </c>
      <c r="C129" s="3" t="s">
        <v>787</v>
      </c>
      <c r="D129" s="3" t="s">
        <v>88</v>
      </c>
      <c r="E129" s="3" t="s">
        <v>636</v>
      </c>
      <c r="F129" s="3" t="s">
        <v>788</v>
      </c>
      <c r="G129" s="3" t="s">
        <v>789</v>
      </c>
      <c r="H129" s="3" t="s">
        <v>789</v>
      </c>
      <c r="I129" s="3" t="s">
        <v>44</v>
      </c>
      <c r="J129" s="3" t="s">
        <v>790</v>
      </c>
      <c r="K129" s="3">
        <v>884350995</v>
      </c>
      <c r="L129" s="3" t="s">
        <v>791</v>
      </c>
    </row>
    <row r="130" spans="1:12" x14ac:dyDescent="0.2">
      <c r="A130" s="1" t="s">
        <v>792</v>
      </c>
      <c r="B130" s="2" t="str">
        <f>HYPERLINK("https://docket.philalegal.org/cgi-bin/proxy.pl?ct=130501881","130501881")</f>
        <v>130501881</v>
      </c>
      <c r="C130" s="3" t="s">
        <v>793</v>
      </c>
      <c r="D130" s="3" t="s">
        <v>88</v>
      </c>
      <c r="E130" s="3" t="s">
        <v>794</v>
      </c>
      <c r="F130" s="3" t="s">
        <v>14</v>
      </c>
      <c r="G130" s="3"/>
      <c r="H130" s="3" t="s">
        <v>795</v>
      </c>
      <c r="I130" s="3" t="s">
        <v>796</v>
      </c>
      <c r="J130" s="3" t="s">
        <v>797</v>
      </c>
      <c r="K130" s="3">
        <v>882921265</v>
      </c>
      <c r="L130" s="3" t="s">
        <v>798</v>
      </c>
    </row>
    <row r="131" spans="1:12" x14ac:dyDescent="0.2">
      <c r="A131" s="1" t="s">
        <v>799</v>
      </c>
      <c r="B131" s="2" t="str">
        <f>HYPERLINK("https://docket.philalegal.org/cgi-bin/proxy.pl?ct=130302276","130302276")</f>
        <v>130302276</v>
      </c>
      <c r="C131" s="3" t="s">
        <v>800</v>
      </c>
      <c r="D131" s="3" t="s">
        <v>13</v>
      </c>
      <c r="E131" s="3" t="s">
        <v>35</v>
      </c>
      <c r="F131" s="3" t="s">
        <v>36</v>
      </c>
      <c r="G131" s="3" t="s">
        <v>801</v>
      </c>
      <c r="H131" s="3" t="s">
        <v>801</v>
      </c>
      <c r="I131" s="3" t="s">
        <v>802</v>
      </c>
      <c r="J131" s="3" t="s">
        <v>803</v>
      </c>
      <c r="K131" s="3">
        <v>301397000</v>
      </c>
      <c r="L131" s="3" t="s">
        <v>804</v>
      </c>
    </row>
    <row r="132" spans="1:12" x14ac:dyDescent="0.2">
      <c r="A132" s="1" t="s">
        <v>805</v>
      </c>
      <c r="B132" s="2" t="str">
        <f>HYPERLINK("https://docket.philalegal.org/cgi-bin/proxy.pl?ct=220100033","220100033")</f>
        <v>220100033</v>
      </c>
      <c r="C132" s="3" t="s">
        <v>806</v>
      </c>
      <c r="D132" s="3" t="s">
        <v>18</v>
      </c>
      <c r="E132" s="3" t="s">
        <v>807</v>
      </c>
      <c r="F132" s="3" t="s">
        <v>36</v>
      </c>
      <c r="G132" s="3"/>
      <c r="H132" s="3" t="s">
        <v>808</v>
      </c>
      <c r="I132" s="3" t="s">
        <v>809</v>
      </c>
      <c r="J132" s="3" t="s">
        <v>810</v>
      </c>
      <c r="K132" s="3">
        <v>301242800</v>
      </c>
      <c r="L132" s="3" t="s">
        <v>811</v>
      </c>
    </row>
    <row r="133" spans="1:12" x14ac:dyDescent="0.2">
      <c r="A133" s="1" t="s">
        <v>812</v>
      </c>
      <c r="B133" s="2" t="str">
        <f>HYPERLINK("https://docket.philalegal.org/cgi-bin/proxy.pl?ct=180600673","180600673")</f>
        <v>180600673</v>
      </c>
      <c r="C133" s="3" t="s">
        <v>185</v>
      </c>
      <c r="D133" s="3" t="s">
        <v>18</v>
      </c>
      <c r="E133" s="3" t="s">
        <v>187</v>
      </c>
      <c r="F133" s="3" t="s">
        <v>813</v>
      </c>
      <c r="G133" s="3"/>
      <c r="H133" s="3" t="s">
        <v>814</v>
      </c>
      <c r="I133" s="3" t="s">
        <v>815</v>
      </c>
      <c r="J133" s="3" t="s">
        <v>816</v>
      </c>
      <c r="K133" s="3">
        <v>363034200</v>
      </c>
      <c r="L133" s="3" t="s">
        <v>267</v>
      </c>
    </row>
    <row r="134" spans="1:12" x14ac:dyDescent="0.2">
      <c r="A134" s="1" t="s">
        <v>817</v>
      </c>
      <c r="B134" s="2" t="str">
        <f>HYPERLINK("https://docket.philalegal.org/cgi-bin/proxy.pl?ct=211100769","211100769")</f>
        <v>211100769</v>
      </c>
      <c r="C134" s="3" t="s">
        <v>818</v>
      </c>
      <c r="D134" s="3" t="s">
        <v>18</v>
      </c>
      <c r="E134" s="3" t="s">
        <v>819</v>
      </c>
      <c r="F134" s="3" t="s">
        <v>461</v>
      </c>
      <c r="G134" s="3" t="s">
        <v>820</v>
      </c>
      <c r="H134" s="3" t="s">
        <v>820</v>
      </c>
      <c r="I134" s="3" t="s">
        <v>821</v>
      </c>
      <c r="J134" s="3" t="s">
        <v>822</v>
      </c>
      <c r="K134" s="3">
        <v>463091500</v>
      </c>
      <c r="L134" s="3" t="s">
        <v>823</v>
      </c>
    </row>
    <row r="135" spans="1:12" x14ac:dyDescent="0.2">
      <c r="A135" s="1" t="s">
        <v>824</v>
      </c>
      <c r="B135" s="2" t="str">
        <f>HYPERLINK("https://docket.philalegal.org/cgi-bin/proxy.pl?ct=231201372","231201372")</f>
        <v>231201372</v>
      </c>
      <c r="C135" s="3" t="s">
        <v>825</v>
      </c>
      <c r="D135" s="3" t="s">
        <v>208</v>
      </c>
      <c r="E135" s="3" t="s">
        <v>765</v>
      </c>
      <c r="F135" s="3"/>
      <c r="G135" s="3" t="s">
        <v>826</v>
      </c>
      <c r="H135" s="3" t="s">
        <v>826</v>
      </c>
      <c r="I135" s="3"/>
      <c r="J135" s="3" t="s">
        <v>827</v>
      </c>
      <c r="K135" s="3">
        <v>241140100</v>
      </c>
      <c r="L135" s="3" t="s">
        <v>828</v>
      </c>
    </row>
    <row r="136" spans="1:12" x14ac:dyDescent="0.2">
      <c r="A136" s="1" t="s">
        <v>829</v>
      </c>
      <c r="B136" s="2" t="str">
        <f>HYPERLINK("https://docket.philalegal.org/cgi-bin/proxy.pl?ct=210302431","210302431")</f>
        <v>210302431</v>
      </c>
      <c r="C136" s="3" t="s">
        <v>185</v>
      </c>
      <c r="D136" s="3" t="s">
        <v>830</v>
      </c>
      <c r="E136" s="3" t="s">
        <v>187</v>
      </c>
      <c r="F136" s="3" t="s">
        <v>210</v>
      </c>
      <c r="G136" s="3" t="s">
        <v>3638</v>
      </c>
      <c r="H136" s="3" t="s">
        <v>831</v>
      </c>
      <c r="I136" s="3"/>
      <c r="J136" s="3" t="s">
        <v>832</v>
      </c>
      <c r="K136" s="3">
        <v>362048600</v>
      </c>
      <c r="L136" s="3" t="s">
        <v>833</v>
      </c>
    </row>
    <row r="137" spans="1:12" x14ac:dyDescent="0.2">
      <c r="A137" s="1" t="s">
        <v>834</v>
      </c>
      <c r="B137" s="2" t="str">
        <f>HYPERLINK("https://docket.philalegal.org/cgi-bin/proxy.pl?ct=191103260","191103260")</f>
        <v>191103260</v>
      </c>
      <c r="C137" s="3" t="s">
        <v>185</v>
      </c>
      <c r="D137" s="3" t="s">
        <v>13</v>
      </c>
      <c r="E137" s="3" t="s">
        <v>187</v>
      </c>
      <c r="F137" s="3" t="s">
        <v>210</v>
      </c>
      <c r="G137" s="3" t="s">
        <v>3639</v>
      </c>
      <c r="H137" s="3" t="s">
        <v>835</v>
      </c>
      <c r="I137" s="3" t="s">
        <v>836</v>
      </c>
      <c r="J137" s="3" t="s">
        <v>837</v>
      </c>
      <c r="K137" s="3">
        <v>521298500</v>
      </c>
      <c r="L137" s="3" t="s">
        <v>838</v>
      </c>
    </row>
    <row r="138" spans="1:12" x14ac:dyDescent="0.2">
      <c r="A138" s="1" t="s">
        <v>839</v>
      </c>
      <c r="B138" s="2" t="str">
        <f>HYPERLINK("https://docket.philalegal.org/cgi-bin/proxy.pl?ct=140801043","140801043")</f>
        <v>140801043</v>
      </c>
      <c r="C138" s="3" t="s">
        <v>840</v>
      </c>
      <c r="D138" s="3" t="s">
        <v>841</v>
      </c>
      <c r="E138" s="3" t="s">
        <v>842</v>
      </c>
      <c r="F138" s="3" t="s">
        <v>843</v>
      </c>
      <c r="G138" s="3" t="s">
        <v>844</v>
      </c>
      <c r="H138" s="3" t="s">
        <v>844</v>
      </c>
      <c r="I138" s="3" t="s">
        <v>845</v>
      </c>
      <c r="J138" s="3" t="s">
        <v>846</v>
      </c>
      <c r="K138" s="3">
        <v>133157900</v>
      </c>
      <c r="L138" s="3" t="s">
        <v>847</v>
      </c>
    </row>
    <row r="139" spans="1:12" x14ac:dyDescent="0.2">
      <c r="A139" s="1" t="s">
        <v>848</v>
      </c>
      <c r="B139" s="2" t="str">
        <f>HYPERLINK("https://docket.philalegal.org/cgi-bin/proxy.pl?ct=160300084","160300084")</f>
        <v>160300084</v>
      </c>
      <c r="C139" s="3" t="s">
        <v>849</v>
      </c>
      <c r="D139" s="3" t="s">
        <v>18</v>
      </c>
      <c r="E139" s="3" t="s">
        <v>648</v>
      </c>
      <c r="F139" s="3" t="s">
        <v>173</v>
      </c>
      <c r="G139" s="3" t="s">
        <v>850</v>
      </c>
      <c r="H139" s="3" t="s">
        <v>850</v>
      </c>
      <c r="I139" s="3" t="s">
        <v>851</v>
      </c>
      <c r="J139" s="3" t="s">
        <v>852</v>
      </c>
      <c r="K139" s="3">
        <v>462135400</v>
      </c>
      <c r="L139" s="3" t="s">
        <v>853</v>
      </c>
    </row>
    <row r="140" spans="1:12" x14ac:dyDescent="0.2">
      <c r="A140" s="1" t="s">
        <v>854</v>
      </c>
      <c r="B140" s="2" t="str">
        <f>HYPERLINK("https://docket.philalegal.org/cgi-bin/proxy.pl?ct=220702672","220702672")</f>
        <v>220702672</v>
      </c>
      <c r="C140" s="3" t="s">
        <v>185</v>
      </c>
      <c r="D140" s="3" t="s">
        <v>216</v>
      </c>
      <c r="E140" s="3" t="s">
        <v>187</v>
      </c>
      <c r="F140" s="3" t="s">
        <v>210</v>
      </c>
      <c r="G140" s="3" t="s">
        <v>3640</v>
      </c>
      <c r="H140" s="3" t="s">
        <v>855</v>
      </c>
      <c r="I140" s="3"/>
      <c r="J140" s="3" t="s">
        <v>856</v>
      </c>
      <c r="K140" s="3">
        <v>323082100</v>
      </c>
      <c r="L140" s="3" t="s">
        <v>857</v>
      </c>
    </row>
    <row r="141" spans="1:12" x14ac:dyDescent="0.2">
      <c r="A141" s="1" t="s">
        <v>858</v>
      </c>
      <c r="B141" s="2" t="str">
        <f>HYPERLINK("https://docket.philalegal.org/cgi-bin/proxy.pl?ct=230301104","230301104")</f>
        <v>230301104</v>
      </c>
      <c r="C141" s="3" t="s">
        <v>859</v>
      </c>
      <c r="D141" s="3" t="s">
        <v>186</v>
      </c>
      <c r="E141" s="3" t="s">
        <v>758</v>
      </c>
      <c r="F141" s="3" t="s">
        <v>860</v>
      </c>
      <c r="G141" s="3"/>
      <c r="H141" s="3" t="s">
        <v>861</v>
      </c>
      <c r="I141" s="3" t="s">
        <v>862</v>
      </c>
      <c r="J141" s="3" t="s">
        <v>863</v>
      </c>
      <c r="K141" s="3">
        <v>131270500</v>
      </c>
      <c r="L141" s="3" t="s">
        <v>864</v>
      </c>
    </row>
    <row r="142" spans="1:12" x14ac:dyDescent="0.2">
      <c r="A142" s="1" t="s">
        <v>865</v>
      </c>
      <c r="B142" s="2" t="str">
        <f>HYPERLINK("https://docket.philalegal.org/cgi-bin/proxy.pl?ct=170602924","170602924")</f>
        <v>170602924</v>
      </c>
      <c r="C142" s="3" t="s">
        <v>866</v>
      </c>
      <c r="D142" s="3" t="s">
        <v>13</v>
      </c>
      <c r="E142" s="3" t="s">
        <v>312</v>
      </c>
      <c r="F142" s="3" t="s">
        <v>313</v>
      </c>
      <c r="G142" s="3" t="s">
        <v>3641</v>
      </c>
      <c r="H142" s="3" t="s">
        <v>867</v>
      </c>
      <c r="I142" s="3" t="s">
        <v>868</v>
      </c>
      <c r="J142" s="3" t="s">
        <v>315</v>
      </c>
      <c r="K142" s="3">
        <v>471259000</v>
      </c>
      <c r="L142" s="3" t="s">
        <v>869</v>
      </c>
    </row>
    <row r="143" spans="1:12" x14ac:dyDescent="0.2">
      <c r="A143" s="1" t="s">
        <v>870</v>
      </c>
      <c r="B143" s="2" t="str">
        <f>HYPERLINK("https://docket.philalegal.org/cgi-bin/proxy.pl?ct=130800753","130800753")</f>
        <v>130800753</v>
      </c>
      <c r="C143" s="3" t="s">
        <v>871</v>
      </c>
      <c r="D143" s="3" t="s">
        <v>13</v>
      </c>
      <c r="E143" s="3" t="s">
        <v>872</v>
      </c>
      <c r="F143" s="3" t="s">
        <v>36</v>
      </c>
      <c r="G143" s="3" t="s">
        <v>873</v>
      </c>
      <c r="H143" s="3" t="s">
        <v>873</v>
      </c>
      <c r="I143" s="3" t="s">
        <v>282</v>
      </c>
      <c r="J143" s="3" t="s">
        <v>874</v>
      </c>
      <c r="K143" s="3">
        <v>642099300</v>
      </c>
      <c r="L143" s="3" t="s">
        <v>875</v>
      </c>
    </row>
    <row r="144" spans="1:12" x14ac:dyDescent="0.2">
      <c r="A144" s="1" t="s">
        <v>876</v>
      </c>
      <c r="B144" s="2" t="str">
        <f>HYPERLINK("https://docket.philalegal.org/cgi-bin/proxy.pl?ct=200300042","200300042")</f>
        <v>200300042</v>
      </c>
      <c r="C144" s="3" t="s">
        <v>877</v>
      </c>
      <c r="D144" s="3" t="s">
        <v>13</v>
      </c>
      <c r="E144" s="3" t="s">
        <v>35</v>
      </c>
      <c r="F144" s="3" t="s">
        <v>36</v>
      </c>
      <c r="G144" s="3" t="s">
        <v>878</v>
      </c>
      <c r="H144" s="3" t="s">
        <v>878</v>
      </c>
      <c r="I144" s="3" t="s">
        <v>879</v>
      </c>
      <c r="J144" s="3" t="s">
        <v>880</v>
      </c>
      <c r="K144" s="3" t="s">
        <v>881</v>
      </c>
      <c r="L144" s="3" t="s">
        <v>882</v>
      </c>
    </row>
    <row r="145" spans="1:12" x14ac:dyDescent="0.2">
      <c r="A145" s="1" t="s">
        <v>883</v>
      </c>
      <c r="B145" s="2" t="str">
        <f>HYPERLINK("https://docket.philalegal.org/cgi-bin/proxy.pl?ct=150402181","150402181")</f>
        <v>150402181</v>
      </c>
      <c r="C145" s="3" t="s">
        <v>884</v>
      </c>
      <c r="D145" s="3" t="s">
        <v>18</v>
      </c>
      <c r="E145" s="3" t="s">
        <v>885</v>
      </c>
      <c r="F145" s="3" t="s">
        <v>886</v>
      </c>
      <c r="G145" s="3" t="s">
        <v>887</v>
      </c>
      <c r="H145" s="3" t="s">
        <v>887</v>
      </c>
      <c r="I145" s="3" t="s">
        <v>888</v>
      </c>
      <c r="J145" s="3" t="s">
        <v>889</v>
      </c>
      <c r="K145" s="3">
        <v>151100900</v>
      </c>
      <c r="L145" s="3" t="s">
        <v>890</v>
      </c>
    </row>
    <row r="146" spans="1:12" x14ac:dyDescent="0.2">
      <c r="A146" s="1" t="s">
        <v>891</v>
      </c>
      <c r="B146" s="2" t="str">
        <f>HYPERLINK("https://docket.philalegal.org/cgi-bin/proxy.pl?ct=160401132","160401132")</f>
        <v>160401132</v>
      </c>
      <c r="C146" s="3" t="s">
        <v>892</v>
      </c>
      <c r="D146" s="3" t="s">
        <v>18</v>
      </c>
      <c r="E146" s="3" t="s">
        <v>35</v>
      </c>
      <c r="F146" s="3" t="s">
        <v>173</v>
      </c>
      <c r="G146" s="3"/>
      <c r="H146" s="3" t="s">
        <v>893</v>
      </c>
      <c r="I146" s="3"/>
      <c r="J146" s="3" t="s">
        <v>894</v>
      </c>
      <c r="K146" s="3">
        <v>312126100</v>
      </c>
      <c r="L146" s="3" t="s">
        <v>895</v>
      </c>
    </row>
    <row r="147" spans="1:12" x14ac:dyDescent="0.2">
      <c r="A147" s="1" t="s">
        <v>896</v>
      </c>
      <c r="B147" s="2" t="str">
        <f>HYPERLINK("https://docket.philalegal.org/cgi-bin/proxy.pl?ct=180101155","180101155")</f>
        <v>180101155</v>
      </c>
      <c r="C147" s="3" t="s">
        <v>897</v>
      </c>
      <c r="D147" s="3" t="s">
        <v>13</v>
      </c>
      <c r="E147" s="3" t="s">
        <v>898</v>
      </c>
      <c r="F147" s="3" t="s">
        <v>899</v>
      </c>
      <c r="G147" s="3" t="s">
        <v>3841</v>
      </c>
      <c r="H147" s="3" t="s">
        <v>900</v>
      </c>
      <c r="I147" s="3" t="s">
        <v>901</v>
      </c>
      <c r="J147" s="3" t="s">
        <v>902</v>
      </c>
      <c r="K147" s="3">
        <v>364097600</v>
      </c>
      <c r="L147" s="3" t="s">
        <v>903</v>
      </c>
    </row>
    <row r="148" spans="1:12" x14ac:dyDescent="0.2">
      <c r="A148" s="1" t="s">
        <v>904</v>
      </c>
      <c r="B148" s="2" t="str">
        <f>HYPERLINK("https://docket.philalegal.org/cgi-bin/proxy.pl?ct=150301290","150301290")</f>
        <v>150301290</v>
      </c>
      <c r="C148" s="3" t="s">
        <v>905</v>
      </c>
      <c r="D148" s="3" t="s">
        <v>18</v>
      </c>
      <c r="E148" s="3" t="s">
        <v>906</v>
      </c>
      <c r="F148" s="3" t="s">
        <v>732</v>
      </c>
      <c r="G148" s="3" t="s">
        <v>3872</v>
      </c>
      <c r="H148" s="3" t="s">
        <v>907</v>
      </c>
      <c r="I148" s="3"/>
      <c r="J148" s="3" t="s">
        <v>908</v>
      </c>
      <c r="K148" s="3">
        <v>871524440</v>
      </c>
      <c r="L148" s="3" t="s">
        <v>909</v>
      </c>
    </row>
    <row r="149" spans="1:12" x14ac:dyDescent="0.2">
      <c r="A149" s="1" t="s">
        <v>910</v>
      </c>
      <c r="B149" s="2" t="str">
        <f>HYPERLINK("https://docket.philalegal.org/cgi-bin/proxy.pl?ct=171102488","171102488")</f>
        <v>171102488</v>
      </c>
      <c r="C149" s="3" t="s">
        <v>185</v>
      </c>
      <c r="D149" s="3" t="s">
        <v>911</v>
      </c>
      <c r="E149" s="3" t="s">
        <v>187</v>
      </c>
      <c r="F149" s="3" t="s">
        <v>210</v>
      </c>
      <c r="G149" s="3" t="s">
        <v>3642</v>
      </c>
      <c r="H149" s="3" t="s">
        <v>912</v>
      </c>
      <c r="I149" s="3" t="s">
        <v>913</v>
      </c>
      <c r="J149" s="3" t="s">
        <v>914</v>
      </c>
      <c r="K149" s="3">
        <v>181415900</v>
      </c>
      <c r="L149" s="3" t="s">
        <v>915</v>
      </c>
    </row>
    <row r="150" spans="1:12" x14ac:dyDescent="0.2">
      <c r="A150" s="1" t="s">
        <v>916</v>
      </c>
      <c r="B150" s="2" t="str">
        <f>HYPERLINK("https://docket.philalegal.org/cgi-bin/proxy.pl?ct=221001674","221001674")</f>
        <v>221001674</v>
      </c>
      <c r="C150" s="3" t="s">
        <v>917</v>
      </c>
      <c r="D150" s="3" t="s">
        <v>216</v>
      </c>
      <c r="E150" s="3" t="s">
        <v>918</v>
      </c>
      <c r="F150" s="3" t="s">
        <v>919</v>
      </c>
      <c r="G150" s="3" t="s">
        <v>3869</v>
      </c>
      <c r="H150" s="3" t="s">
        <v>649</v>
      </c>
      <c r="I150" s="3"/>
      <c r="J150" s="3" t="s">
        <v>920</v>
      </c>
      <c r="K150" s="3">
        <v>601012400</v>
      </c>
      <c r="L150" s="3" t="s">
        <v>921</v>
      </c>
    </row>
    <row r="151" spans="1:12" x14ac:dyDescent="0.2">
      <c r="A151" s="1" t="s">
        <v>922</v>
      </c>
      <c r="B151" s="2" t="str">
        <f>HYPERLINK("https://docket.philalegal.org/cgi-bin/proxy.pl?ct=210901864","210901864")</f>
        <v>210901864</v>
      </c>
      <c r="C151" s="3" t="s">
        <v>325</v>
      </c>
      <c r="D151" s="3" t="s">
        <v>18</v>
      </c>
      <c r="E151" s="3" t="s">
        <v>326</v>
      </c>
      <c r="F151" s="3" t="s">
        <v>923</v>
      </c>
      <c r="G151" s="3"/>
      <c r="H151" s="3" t="s">
        <v>924</v>
      </c>
      <c r="I151" s="3" t="s">
        <v>925</v>
      </c>
      <c r="J151" s="3" t="s">
        <v>926</v>
      </c>
      <c r="K151" s="3">
        <v>884345125</v>
      </c>
      <c r="L151" s="3" t="s">
        <v>927</v>
      </c>
    </row>
    <row r="152" spans="1:12" x14ac:dyDescent="0.2">
      <c r="A152" s="1" t="s">
        <v>928</v>
      </c>
      <c r="B152" s="2" t="str">
        <f>HYPERLINK("https://docket.philalegal.org/cgi-bin/proxy.pl?ct=200401714","200401714")</f>
        <v>200401714</v>
      </c>
      <c r="C152" s="3" t="s">
        <v>185</v>
      </c>
      <c r="D152" s="3" t="s">
        <v>216</v>
      </c>
      <c r="E152" s="3" t="s">
        <v>187</v>
      </c>
      <c r="F152" s="3" t="s">
        <v>688</v>
      </c>
      <c r="G152" s="3"/>
      <c r="H152" s="3" t="s">
        <v>929</v>
      </c>
      <c r="I152" s="3"/>
      <c r="J152" s="3" t="s">
        <v>930</v>
      </c>
      <c r="K152" s="3">
        <v>885507660</v>
      </c>
      <c r="L152" s="3" t="s">
        <v>931</v>
      </c>
    </row>
    <row r="153" spans="1:12" x14ac:dyDescent="0.2">
      <c r="A153" s="1" t="s">
        <v>932</v>
      </c>
      <c r="B153" s="2" t="str">
        <f>HYPERLINK("https://docket.philalegal.org/cgi-bin/proxy.pl?ct=190704091","190704091")</f>
        <v>190704091</v>
      </c>
      <c r="C153" s="3" t="s">
        <v>185</v>
      </c>
      <c r="D153" s="3" t="s">
        <v>13</v>
      </c>
      <c r="E153" s="3" t="s">
        <v>187</v>
      </c>
      <c r="F153" s="3" t="s">
        <v>933</v>
      </c>
      <c r="G153" s="3" t="s">
        <v>3643</v>
      </c>
      <c r="H153" s="3" t="s">
        <v>934</v>
      </c>
      <c r="I153" s="3" t="s">
        <v>19</v>
      </c>
      <c r="J153" s="3" t="s">
        <v>935</v>
      </c>
      <c r="K153" s="3">
        <v>521205000</v>
      </c>
      <c r="L153" s="3" t="s">
        <v>936</v>
      </c>
    </row>
    <row r="154" spans="1:12" x14ac:dyDescent="0.2">
      <c r="A154" s="1" t="s">
        <v>937</v>
      </c>
      <c r="B154" s="2" t="str">
        <f>HYPERLINK("https://docket.philalegal.org/cgi-bin/proxy.pl?ct=200203268","200203268")</f>
        <v>200203268</v>
      </c>
      <c r="C154" s="3" t="s">
        <v>185</v>
      </c>
      <c r="D154" s="3" t="s">
        <v>18</v>
      </c>
      <c r="E154" s="3" t="s">
        <v>187</v>
      </c>
      <c r="F154" s="3" t="s">
        <v>938</v>
      </c>
      <c r="G154" s="3"/>
      <c r="H154" s="3" t="s">
        <v>939</v>
      </c>
      <c r="I154" s="3"/>
      <c r="J154" s="3" t="s">
        <v>940</v>
      </c>
      <c r="K154" s="3">
        <v>884166907</v>
      </c>
      <c r="L154" s="3" t="s">
        <v>529</v>
      </c>
    </row>
    <row r="155" spans="1:12" x14ac:dyDescent="0.2">
      <c r="A155" s="1" t="s">
        <v>941</v>
      </c>
      <c r="B155" s="2" t="str">
        <f>HYPERLINK("https://docket.philalegal.org/cgi-bin/proxy.pl?ct=181001785","181001785")</f>
        <v>181001785</v>
      </c>
      <c r="C155" s="3" t="s">
        <v>704</v>
      </c>
      <c r="D155" s="3" t="s">
        <v>88</v>
      </c>
      <c r="E155" s="3" t="s">
        <v>187</v>
      </c>
      <c r="F155" s="3" t="s">
        <v>271</v>
      </c>
      <c r="G155" s="3" t="s">
        <v>3644</v>
      </c>
      <c r="H155" s="3" t="s">
        <v>942</v>
      </c>
      <c r="I155" s="3"/>
      <c r="J155" s="3" t="s">
        <v>943</v>
      </c>
      <c r="K155" s="3">
        <v>291305900</v>
      </c>
      <c r="L155" s="3" t="s">
        <v>416</v>
      </c>
    </row>
    <row r="156" spans="1:12" x14ac:dyDescent="0.2">
      <c r="A156" s="1" t="s">
        <v>944</v>
      </c>
      <c r="B156" s="2" t="str">
        <f>HYPERLINK("https://docket.philalegal.org/cgi-bin/proxy.pl?ct=210800047","210800047")</f>
        <v>210800047</v>
      </c>
      <c r="C156" s="3" t="s">
        <v>945</v>
      </c>
      <c r="D156" s="3" t="s">
        <v>216</v>
      </c>
      <c r="E156" s="3" t="s">
        <v>946</v>
      </c>
      <c r="F156" s="3" t="s">
        <v>20</v>
      </c>
      <c r="G156" s="3" t="s">
        <v>3873</v>
      </c>
      <c r="H156" s="3" t="s">
        <v>947</v>
      </c>
      <c r="I156" s="3"/>
      <c r="J156" s="3" t="s">
        <v>948</v>
      </c>
      <c r="K156" s="3">
        <v>461120700</v>
      </c>
      <c r="L156" s="3" t="s">
        <v>949</v>
      </c>
    </row>
    <row r="157" spans="1:12" x14ac:dyDescent="0.2">
      <c r="A157" s="1" t="s">
        <v>950</v>
      </c>
      <c r="B157" s="2" t="str">
        <f>HYPERLINK("https://docket.philalegal.org/cgi-bin/proxy.pl?ct=130300212","130300212")</f>
        <v>130300212</v>
      </c>
      <c r="C157" s="3" t="s">
        <v>951</v>
      </c>
      <c r="D157" s="3" t="s">
        <v>88</v>
      </c>
      <c r="E157" s="3" t="s">
        <v>35</v>
      </c>
      <c r="F157" s="3" t="s">
        <v>36</v>
      </c>
      <c r="G157" s="3" t="s">
        <v>3874</v>
      </c>
      <c r="H157" s="3" t="s">
        <v>952</v>
      </c>
      <c r="I157" s="3" t="s">
        <v>953</v>
      </c>
      <c r="J157" s="3" t="s">
        <v>954</v>
      </c>
      <c r="K157" s="3">
        <v>301178400</v>
      </c>
      <c r="L157" s="3" t="s">
        <v>955</v>
      </c>
    </row>
    <row r="158" spans="1:12" x14ac:dyDescent="0.2">
      <c r="A158" s="1" t="s">
        <v>956</v>
      </c>
      <c r="B158" s="2" t="str">
        <f>HYPERLINK("https://docket.philalegal.org/cgi-bin/proxy.pl?ct=150603835","150603835")</f>
        <v>150603835</v>
      </c>
      <c r="C158" s="3" t="s">
        <v>659</v>
      </c>
      <c r="D158" s="3" t="s">
        <v>13</v>
      </c>
      <c r="E158" s="3" t="s">
        <v>35</v>
      </c>
      <c r="F158" s="3" t="s">
        <v>36</v>
      </c>
      <c r="G158" s="3" t="s">
        <v>3645</v>
      </c>
      <c r="H158" s="3" t="s">
        <v>957</v>
      </c>
      <c r="I158" s="3"/>
      <c r="J158" s="3" t="s">
        <v>661</v>
      </c>
      <c r="K158" s="3">
        <v>365200500</v>
      </c>
      <c r="L158" s="3" t="s">
        <v>958</v>
      </c>
    </row>
    <row r="159" spans="1:12" x14ac:dyDescent="0.2">
      <c r="A159" s="1" t="s">
        <v>959</v>
      </c>
      <c r="B159" s="2" t="str">
        <f>HYPERLINK("https://docket.philalegal.org/cgi-bin/proxy.pl?ct=211000299","211000299")</f>
        <v>211000299</v>
      </c>
      <c r="C159" s="3" t="s">
        <v>960</v>
      </c>
      <c r="D159" s="3" t="s">
        <v>18</v>
      </c>
      <c r="E159" s="3" t="s">
        <v>961</v>
      </c>
      <c r="F159" s="3" t="s">
        <v>962</v>
      </c>
      <c r="G159" s="3" t="s">
        <v>963</v>
      </c>
      <c r="H159" s="3" t="s">
        <v>963</v>
      </c>
      <c r="I159" s="3" t="s">
        <v>964</v>
      </c>
      <c r="J159" s="3" t="s">
        <v>965</v>
      </c>
      <c r="K159" s="3">
        <v>521256600</v>
      </c>
      <c r="L159" s="3" t="s">
        <v>966</v>
      </c>
    </row>
    <row r="160" spans="1:12" x14ac:dyDescent="0.2">
      <c r="A160" s="1" t="s">
        <v>967</v>
      </c>
      <c r="B160" s="2" t="str">
        <f>HYPERLINK("https://docket.philalegal.org/cgi-bin/proxy.pl?ct=160200586","160200586")</f>
        <v>160200586</v>
      </c>
      <c r="C160" s="3" t="s">
        <v>968</v>
      </c>
      <c r="D160" s="3" t="s">
        <v>18</v>
      </c>
      <c r="E160" s="3" t="s">
        <v>35</v>
      </c>
      <c r="F160" s="3" t="s">
        <v>173</v>
      </c>
      <c r="G160" s="3" t="s">
        <v>3646</v>
      </c>
      <c r="H160" s="3" t="s">
        <v>969</v>
      </c>
      <c r="I160" s="3"/>
      <c r="J160" s="3" t="s">
        <v>970</v>
      </c>
      <c r="K160" s="3">
        <v>301239800</v>
      </c>
      <c r="L160" s="3" t="s">
        <v>971</v>
      </c>
    </row>
    <row r="161" spans="1:12" x14ac:dyDescent="0.2">
      <c r="A161" s="1" t="s">
        <v>972</v>
      </c>
      <c r="B161" s="2" t="str">
        <f>HYPERLINK("https://docket.philalegal.org/cgi-bin/proxy.pl?ct=190200641","190200641")</f>
        <v>190200641</v>
      </c>
      <c r="C161" s="3" t="s">
        <v>185</v>
      </c>
      <c r="D161" s="3" t="s">
        <v>88</v>
      </c>
      <c r="E161" s="3" t="s">
        <v>187</v>
      </c>
      <c r="F161" s="3" t="s">
        <v>973</v>
      </c>
      <c r="G161" s="3"/>
      <c r="H161" s="3" t="s">
        <v>974</v>
      </c>
      <c r="I161" s="3" t="s">
        <v>975</v>
      </c>
      <c r="J161" s="3" t="s">
        <v>976</v>
      </c>
      <c r="K161" s="3">
        <v>777504900</v>
      </c>
      <c r="L161" s="3" t="s">
        <v>977</v>
      </c>
    </row>
    <row r="162" spans="1:12" x14ac:dyDescent="0.2">
      <c r="A162" s="1" t="s">
        <v>978</v>
      </c>
      <c r="B162" s="2" t="str">
        <f>HYPERLINK("https://docket.philalegal.org/cgi-bin/proxy.pl?ct=160501213","160501213")</f>
        <v>160501213</v>
      </c>
      <c r="C162" s="3" t="s">
        <v>979</v>
      </c>
      <c r="D162" s="3" t="s">
        <v>166</v>
      </c>
      <c r="E162" s="3" t="s">
        <v>980</v>
      </c>
      <c r="F162" s="3" t="s">
        <v>313</v>
      </c>
      <c r="G162" s="3" t="s">
        <v>981</v>
      </c>
      <c r="H162" s="3" t="s">
        <v>981</v>
      </c>
      <c r="I162" s="3"/>
      <c r="J162" s="3" t="s">
        <v>982</v>
      </c>
      <c r="K162" s="3">
        <v>394004000</v>
      </c>
      <c r="L162" s="3" t="s">
        <v>983</v>
      </c>
    </row>
    <row r="163" spans="1:12" x14ac:dyDescent="0.2">
      <c r="A163" s="1" t="s">
        <v>984</v>
      </c>
      <c r="B163" s="2" t="str">
        <f>HYPERLINK("https://docket.philalegal.org/cgi-bin/proxy.pl?ct=230701298","230701298")</f>
        <v>230701298</v>
      </c>
      <c r="C163" s="3" t="s">
        <v>985</v>
      </c>
      <c r="D163" s="3" t="s">
        <v>208</v>
      </c>
      <c r="E163" s="3" t="s">
        <v>986</v>
      </c>
      <c r="F163" s="3" t="s">
        <v>44</v>
      </c>
      <c r="G163" s="3"/>
      <c r="H163" s="3" t="s">
        <v>987</v>
      </c>
      <c r="I163" s="3"/>
      <c r="J163" s="3" t="s">
        <v>988</v>
      </c>
      <c r="K163" s="3">
        <v>133077900</v>
      </c>
      <c r="L163" s="3" t="s">
        <v>989</v>
      </c>
    </row>
    <row r="164" spans="1:12" x14ac:dyDescent="0.2">
      <c r="A164" s="1" t="s">
        <v>990</v>
      </c>
      <c r="B164" s="2" t="str">
        <f>HYPERLINK("https://docket.philalegal.org/cgi-bin/proxy.pl?ct=180403972","180403972")</f>
        <v>180403972</v>
      </c>
      <c r="C164" s="3" t="s">
        <v>991</v>
      </c>
      <c r="D164" s="3" t="s">
        <v>88</v>
      </c>
      <c r="E164" s="3" t="s">
        <v>230</v>
      </c>
      <c r="F164" s="3" t="s">
        <v>992</v>
      </c>
      <c r="G164" s="3" t="s">
        <v>3647</v>
      </c>
      <c r="H164" s="3" t="s">
        <v>993</v>
      </c>
      <c r="I164" s="3" t="s">
        <v>901</v>
      </c>
      <c r="J164" s="3" t="s">
        <v>994</v>
      </c>
      <c r="K164" s="3">
        <v>871212650</v>
      </c>
      <c r="L164" s="3" t="s">
        <v>995</v>
      </c>
    </row>
    <row r="165" spans="1:12" x14ac:dyDescent="0.2">
      <c r="A165" s="1" t="s">
        <v>996</v>
      </c>
      <c r="B165" s="2" t="str">
        <f>HYPERLINK("https://docket.philalegal.org/cgi-bin/proxy.pl?ct=230102492","230102492")</f>
        <v>230102492</v>
      </c>
      <c r="C165" s="3" t="s">
        <v>997</v>
      </c>
      <c r="D165" s="3" t="s">
        <v>216</v>
      </c>
      <c r="E165" s="3" t="s">
        <v>35</v>
      </c>
      <c r="F165" s="3" t="s">
        <v>998</v>
      </c>
      <c r="G165" s="3" t="s">
        <v>3648</v>
      </c>
      <c r="H165" s="3" t="s">
        <v>999</v>
      </c>
      <c r="I165" s="3" t="s">
        <v>1000</v>
      </c>
      <c r="J165" s="3" t="s">
        <v>1001</v>
      </c>
      <c r="K165" s="3">
        <v>181346800</v>
      </c>
      <c r="L165" s="3" t="s">
        <v>1002</v>
      </c>
    </row>
    <row r="166" spans="1:12" x14ac:dyDescent="0.2">
      <c r="A166" s="1" t="s">
        <v>1003</v>
      </c>
      <c r="B166" s="2" t="str">
        <f>HYPERLINK("https://docket.philalegal.org/cgi-bin/proxy.pl?ct=210301790","210301790")</f>
        <v>210301790</v>
      </c>
      <c r="C166" s="3" t="s">
        <v>1004</v>
      </c>
      <c r="D166" s="3" t="s">
        <v>18</v>
      </c>
      <c r="E166" s="3" t="s">
        <v>35</v>
      </c>
      <c r="F166" s="3" t="s">
        <v>36</v>
      </c>
      <c r="G166" s="3"/>
      <c r="H166" s="3" t="s">
        <v>1005</v>
      </c>
      <c r="I166" s="3" t="s">
        <v>1006</v>
      </c>
      <c r="J166" s="3" t="s">
        <v>1007</v>
      </c>
      <c r="K166" s="3">
        <v>122051400</v>
      </c>
      <c r="L166" s="3" t="s">
        <v>183</v>
      </c>
    </row>
    <row r="167" spans="1:12" x14ac:dyDescent="0.2">
      <c r="A167" s="1" t="s">
        <v>1008</v>
      </c>
      <c r="B167" s="2" t="str">
        <f>HYPERLINK("https://docket.philalegal.org/cgi-bin/proxy.pl?ct=240101995","240101995")</f>
        <v>240101995</v>
      </c>
      <c r="C167" s="3" t="s">
        <v>293</v>
      </c>
      <c r="D167" s="3" t="s">
        <v>208</v>
      </c>
      <c r="E167" s="3" t="s">
        <v>187</v>
      </c>
      <c r="F167" s="3" t="s">
        <v>327</v>
      </c>
      <c r="G167" s="3"/>
      <c r="H167" s="3" t="s">
        <v>434</v>
      </c>
      <c r="I167" s="3"/>
      <c r="J167" s="3" t="s">
        <v>1009</v>
      </c>
      <c r="K167" s="3" t="s">
        <v>1010</v>
      </c>
      <c r="L167" s="3" t="s">
        <v>1011</v>
      </c>
    </row>
    <row r="168" spans="1:12" x14ac:dyDescent="0.2">
      <c r="A168" s="1" t="s">
        <v>1012</v>
      </c>
      <c r="B168" s="2" t="str">
        <f>HYPERLINK("https://docket.philalegal.org/cgi-bin/proxy.pl?ct=190902161","190902161")</f>
        <v>190902161</v>
      </c>
      <c r="C168" s="3" t="s">
        <v>1013</v>
      </c>
      <c r="D168" s="3" t="s">
        <v>13</v>
      </c>
      <c r="E168" s="3" t="s">
        <v>230</v>
      </c>
      <c r="F168" s="3" t="s">
        <v>36</v>
      </c>
      <c r="G168" s="3"/>
      <c r="H168" s="3" t="s">
        <v>1014</v>
      </c>
      <c r="I168" s="3" t="s">
        <v>1015</v>
      </c>
      <c r="J168" s="3" t="s">
        <v>1016</v>
      </c>
      <c r="K168" s="3">
        <v>871401535</v>
      </c>
      <c r="L168" s="3" t="s">
        <v>1017</v>
      </c>
    </row>
    <row r="169" spans="1:12" x14ac:dyDescent="0.2">
      <c r="A169" s="1" t="s">
        <v>1018</v>
      </c>
      <c r="B169" s="2" t="str">
        <f>HYPERLINK("https://docket.philalegal.org/cgi-bin/proxy.pl?ct=180700625","180700625")</f>
        <v>180700625</v>
      </c>
      <c r="C169" s="3" t="s">
        <v>1019</v>
      </c>
      <c r="D169" s="3" t="s">
        <v>13</v>
      </c>
      <c r="E169" s="3" t="s">
        <v>35</v>
      </c>
      <c r="F169" s="3" t="s">
        <v>313</v>
      </c>
      <c r="G169" s="3" t="s">
        <v>1020</v>
      </c>
      <c r="H169" s="3" t="s">
        <v>1020</v>
      </c>
      <c r="I169" s="3"/>
      <c r="J169" s="3" t="s">
        <v>1021</v>
      </c>
      <c r="K169" s="3">
        <v>392199300</v>
      </c>
      <c r="L169" s="3" t="s">
        <v>1022</v>
      </c>
    </row>
    <row r="170" spans="1:12" x14ac:dyDescent="0.2">
      <c r="A170" s="1" t="s">
        <v>1023</v>
      </c>
      <c r="B170" s="2" t="str">
        <f>HYPERLINK("https://docket.philalegal.org/cgi-bin/proxy.pl?ct=160201702","160201702")</f>
        <v>160201702</v>
      </c>
      <c r="C170" s="3" t="s">
        <v>1024</v>
      </c>
      <c r="D170" s="3" t="s">
        <v>18</v>
      </c>
      <c r="E170" s="3" t="s">
        <v>1025</v>
      </c>
      <c r="F170" s="3" t="s">
        <v>20</v>
      </c>
      <c r="G170" s="3" t="s">
        <v>1026</v>
      </c>
      <c r="H170" s="3" t="s">
        <v>1026</v>
      </c>
      <c r="I170" s="3"/>
      <c r="J170" s="3" t="s">
        <v>1027</v>
      </c>
      <c r="K170" s="3">
        <v>151352610</v>
      </c>
      <c r="L170" s="3" t="s">
        <v>1028</v>
      </c>
    </row>
    <row r="171" spans="1:12" x14ac:dyDescent="0.2">
      <c r="A171" s="1" t="s">
        <v>1029</v>
      </c>
      <c r="B171" s="2" t="str">
        <f>HYPERLINK("https://docket.philalegal.org/cgi-bin/proxy.pl?ct=150600785","150600785")</f>
        <v>150600785</v>
      </c>
      <c r="C171" s="3" t="s">
        <v>1030</v>
      </c>
      <c r="D171" s="3" t="s">
        <v>88</v>
      </c>
      <c r="E171" s="3" t="s">
        <v>35</v>
      </c>
      <c r="F171" s="3" t="s">
        <v>36</v>
      </c>
      <c r="G171" s="3" t="s">
        <v>1031</v>
      </c>
      <c r="H171" s="3" t="s">
        <v>1031</v>
      </c>
      <c r="I171" s="3"/>
      <c r="J171" s="3" t="s">
        <v>1032</v>
      </c>
      <c r="K171" s="3">
        <v>301135200</v>
      </c>
      <c r="L171" s="3" t="s">
        <v>1033</v>
      </c>
    </row>
    <row r="172" spans="1:12" x14ac:dyDescent="0.2">
      <c r="A172" s="1" t="s">
        <v>1034</v>
      </c>
      <c r="B172" s="2" t="str">
        <f>HYPERLINK("https://docket.philalegal.org/cgi-bin/proxy.pl?ct=231101685","231101685")</f>
        <v>231101685</v>
      </c>
      <c r="C172" s="3" t="s">
        <v>1035</v>
      </c>
      <c r="D172" s="3" t="s">
        <v>208</v>
      </c>
      <c r="E172" s="3" t="s">
        <v>1036</v>
      </c>
      <c r="F172" s="3"/>
      <c r="G172" s="3" t="s">
        <v>3875</v>
      </c>
      <c r="H172" s="3" t="s">
        <v>1037</v>
      </c>
      <c r="I172" s="3"/>
      <c r="J172" s="3" t="s">
        <v>1038</v>
      </c>
      <c r="K172" s="3">
        <v>241173800</v>
      </c>
      <c r="L172" s="3" t="s">
        <v>1039</v>
      </c>
    </row>
    <row r="173" spans="1:12" x14ac:dyDescent="0.2">
      <c r="A173" s="1" t="s">
        <v>1040</v>
      </c>
      <c r="B173" s="2" t="str">
        <f>HYPERLINK("https://docket.philalegal.org/cgi-bin/proxy.pl?ct=230801322","230801322")</f>
        <v>230801322</v>
      </c>
      <c r="C173" s="3" t="s">
        <v>1041</v>
      </c>
      <c r="D173" s="3" t="s">
        <v>208</v>
      </c>
      <c r="E173" s="3" t="s">
        <v>35</v>
      </c>
      <c r="F173" s="3" t="s">
        <v>1042</v>
      </c>
      <c r="G173" s="3" t="s">
        <v>1043</v>
      </c>
      <c r="H173" s="3" t="s">
        <v>1043</v>
      </c>
      <c r="I173" s="3"/>
      <c r="J173" s="3" t="s">
        <v>1044</v>
      </c>
      <c r="K173" s="3">
        <v>881501400</v>
      </c>
      <c r="L173" s="3" t="s">
        <v>1045</v>
      </c>
    </row>
    <row r="174" spans="1:12" x14ac:dyDescent="0.2">
      <c r="A174" s="1" t="s">
        <v>1046</v>
      </c>
      <c r="B174" s="2" t="str">
        <f>HYPERLINK("https://docket.philalegal.org/cgi-bin/proxy.pl?ct=191103250","191103250")</f>
        <v>191103250</v>
      </c>
      <c r="C174" s="3" t="s">
        <v>185</v>
      </c>
      <c r="D174" s="3" t="s">
        <v>18</v>
      </c>
      <c r="E174" s="3" t="s">
        <v>187</v>
      </c>
      <c r="F174" s="3" t="s">
        <v>210</v>
      </c>
      <c r="G174" s="3" t="s">
        <v>3649</v>
      </c>
      <c r="H174" s="3" t="s">
        <v>1047</v>
      </c>
      <c r="I174" s="3" t="s">
        <v>815</v>
      </c>
      <c r="J174" s="3" t="s">
        <v>1048</v>
      </c>
      <c r="K174" s="3">
        <v>324048100</v>
      </c>
      <c r="L174" s="3" t="s">
        <v>267</v>
      </c>
    </row>
    <row r="175" spans="1:12" x14ac:dyDescent="0.2">
      <c r="A175" s="1" t="s">
        <v>1049</v>
      </c>
      <c r="B175" s="2" t="str">
        <f>HYPERLINK("https://docket.philalegal.org/cgi-bin/proxy.pl?ct=140200494","140200494")</f>
        <v>140200494</v>
      </c>
      <c r="C175" s="3" t="s">
        <v>1050</v>
      </c>
      <c r="D175" s="3" t="s">
        <v>18</v>
      </c>
      <c r="E175" s="3" t="s">
        <v>1051</v>
      </c>
      <c r="F175" s="3" t="s">
        <v>732</v>
      </c>
      <c r="G175" s="3" t="s">
        <v>1052</v>
      </c>
      <c r="H175" s="3" t="s">
        <v>1052</v>
      </c>
      <c r="I175" s="3"/>
      <c r="J175" s="3" t="s">
        <v>1053</v>
      </c>
      <c r="K175" s="3">
        <v>242235400</v>
      </c>
      <c r="L175" s="3" t="s">
        <v>1054</v>
      </c>
    </row>
    <row r="176" spans="1:12" x14ac:dyDescent="0.2">
      <c r="A176" s="1" t="s">
        <v>1055</v>
      </c>
      <c r="B176" s="2" t="str">
        <f>HYPERLINK("https://docket.philalegal.org/cgi-bin/proxy.pl?ct=220301416","220301416")</f>
        <v>220301416</v>
      </c>
      <c r="C176" s="3" t="s">
        <v>1056</v>
      </c>
      <c r="D176" s="3" t="s">
        <v>18</v>
      </c>
      <c r="E176" s="3" t="s">
        <v>194</v>
      </c>
      <c r="F176" s="3" t="s">
        <v>1057</v>
      </c>
      <c r="G176" s="3" t="s">
        <v>3876</v>
      </c>
      <c r="H176" s="3" t="s">
        <v>1058</v>
      </c>
      <c r="I176" s="3"/>
      <c r="J176" s="3" t="s">
        <v>1059</v>
      </c>
      <c r="K176" s="3">
        <v>302100800</v>
      </c>
      <c r="L176" s="3" t="s">
        <v>1060</v>
      </c>
    </row>
    <row r="177" spans="1:12" x14ac:dyDescent="0.2">
      <c r="A177" s="1" t="s">
        <v>1061</v>
      </c>
      <c r="B177" s="2" t="str">
        <f>HYPERLINK("https://docket.philalegal.org/cgi-bin/proxy.pl?ct=200203202","200203202")</f>
        <v>200203202</v>
      </c>
      <c r="C177" s="3" t="s">
        <v>185</v>
      </c>
      <c r="D177" s="3" t="s">
        <v>18</v>
      </c>
      <c r="E177" s="3" t="s">
        <v>187</v>
      </c>
      <c r="F177" s="3" t="s">
        <v>210</v>
      </c>
      <c r="G177" s="3" t="s">
        <v>3650</v>
      </c>
      <c r="H177" s="3" t="s">
        <v>1062</v>
      </c>
      <c r="I177" s="3"/>
      <c r="J177" s="3" t="s">
        <v>1063</v>
      </c>
      <c r="K177" s="3">
        <v>362118405</v>
      </c>
      <c r="L177" s="3" t="s">
        <v>267</v>
      </c>
    </row>
    <row r="178" spans="1:12" x14ac:dyDescent="0.2">
      <c r="A178" s="1" t="s">
        <v>1064</v>
      </c>
      <c r="B178" s="2" t="str">
        <f>HYPERLINK("https://docket.philalegal.org/cgi-bin/proxy.pl?ct=180600065","180600065")</f>
        <v>180600065</v>
      </c>
      <c r="C178" s="3" t="s">
        <v>185</v>
      </c>
      <c r="D178" s="3" t="s">
        <v>13</v>
      </c>
      <c r="E178" s="3" t="s">
        <v>187</v>
      </c>
      <c r="F178" s="3" t="s">
        <v>210</v>
      </c>
      <c r="G178" s="3" t="s">
        <v>3651</v>
      </c>
      <c r="H178" s="3" t="s">
        <v>1065</v>
      </c>
      <c r="I178" s="3"/>
      <c r="J178" s="3" t="s">
        <v>1066</v>
      </c>
      <c r="K178" s="3">
        <v>291333300</v>
      </c>
      <c r="L178" s="3" t="s">
        <v>1067</v>
      </c>
    </row>
    <row r="179" spans="1:12" x14ac:dyDescent="0.2">
      <c r="A179" s="1" t="s">
        <v>1068</v>
      </c>
      <c r="B179" s="2" t="str">
        <f>HYPERLINK("https://docket.philalegal.org/cgi-bin/proxy.pl?ct=160801968","160801968")</f>
        <v>160801968</v>
      </c>
      <c r="C179" s="3" t="s">
        <v>1069</v>
      </c>
      <c r="D179" s="3" t="s">
        <v>13</v>
      </c>
      <c r="E179" s="3" t="s">
        <v>565</v>
      </c>
      <c r="F179" s="3" t="s">
        <v>202</v>
      </c>
      <c r="G179" s="3" t="s">
        <v>1070</v>
      </c>
      <c r="H179" s="3" t="s">
        <v>1070</v>
      </c>
      <c r="I179" s="3"/>
      <c r="J179" s="3" t="s">
        <v>1071</v>
      </c>
      <c r="K179" s="3">
        <v>871572440</v>
      </c>
      <c r="L179" s="3" t="s">
        <v>1072</v>
      </c>
    </row>
    <row r="180" spans="1:12" x14ac:dyDescent="0.2">
      <c r="A180" s="1" t="s">
        <v>1073</v>
      </c>
      <c r="B180" s="2" t="str">
        <f>HYPERLINK("https://docket.philalegal.org/cgi-bin/proxy.pl?ct=210101327","210101327")</f>
        <v>210101327</v>
      </c>
      <c r="C180" s="3" t="s">
        <v>1074</v>
      </c>
      <c r="D180" s="3" t="s">
        <v>1075</v>
      </c>
      <c r="E180" s="3" t="s">
        <v>1076</v>
      </c>
      <c r="F180" s="3" t="s">
        <v>313</v>
      </c>
      <c r="G180" s="3"/>
      <c r="H180" s="3" t="s">
        <v>1077</v>
      </c>
      <c r="I180" s="3" t="s">
        <v>1078</v>
      </c>
      <c r="J180" s="3" t="s">
        <v>1079</v>
      </c>
      <c r="K180" s="3">
        <v>875101750</v>
      </c>
      <c r="L180" s="3" t="s">
        <v>1080</v>
      </c>
    </row>
    <row r="181" spans="1:12" x14ac:dyDescent="0.2">
      <c r="A181" s="1" t="s">
        <v>1081</v>
      </c>
      <c r="B181" s="2" t="str">
        <f>HYPERLINK("https://docket.philalegal.org/cgi-bin/proxy.pl?ct=170402747","170402747")</f>
        <v>170402747</v>
      </c>
      <c r="C181" s="3" t="s">
        <v>185</v>
      </c>
      <c r="D181" s="3" t="s">
        <v>79</v>
      </c>
      <c r="E181" s="3" t="s">
        <v>187</v>
      </c>
      <c r="F181" s="3" t="s">
        <v>210</v>
      </c>
      <c r="G181" s="3"/>
      <c r="H181" s="3" t="s">
        <v>1082</v>
      </c>
      <c r="I181" s="3" t="s">
        <v>1083</v>
      </c>
      <c r="J181" s="3" t="s">
        <v>1084</v>
      </c>
      <c r="K181" s="3">
        <v>291026900</v>
      </c>
      <c r="L181" s="3" t="s">
        <v>1085</v>
      </c>
    </row>
    <row r="182" spans="1:12" x14ac:dyDescent="0.2">
      <c r="A182" s="1" t="s">
        <v>1086</v>
      </c>
      <c r="B182" s="2" t="str">
        <f>HYPERLINK("https://docket.philalegal.org/cgi-bin/proxy.pl?ct=211101801","211101801")</f>
        <v>211101801</v>
      </c>
      <c r="C182" s="3" t="s">
        <v>372</v>
      </c>
      <c r="D182" s="3" t="s">
        <v>18</v>
      </c>
      <c r="E182" s="3" t="s">
        <v>187</v>
      </c>
      <c r="F182" s="3" t="s">
        <v>210</v>
      </c>
      <c r="G182" s="3"/>
      <c r="H182" s="3" t="s">
        <v>1087</v>
      </c>
      <c r="I182" s="3"/>
      <c r="J182" s="3" t="s">
        <v>1088</v>
      </c>
      <c r="K182" s="3">
        <v>593027600</v>
      </c>
      <c r="L182" s="3" t="s">
        <v>375</v>
      </c>
    </row>
    <row r="183" spans="1:12" x14ac:dyDescent="0.2">
      <c r="A183" s="1" t="s">
        <v>1089</v>
      </c>
      <c r="B183" s="2" t="str">
        <f>HYPERLINK("https://docket.philalegal.org/cgi-bin/proxy.pl?ct=200301313","200301313")</f>
        <v>200301313</v>
      </c>
      <c r="C183" s="3" t="s">
        <v>293</v>
      </c>
      <c r="D183" s="3" t="s">
        <v>13</v>
      </c>
      <c r="E183" s="3" t="s">
        <v>187</v>
      </c>
      <c r="F183" s="3" t="s">
        <v>210</v>
      </c>
      <c r="G183" s="3" t="s">
        <v>1090</v>
      </c>
      <c r="H183" s="3" t="s">
        <v>1090</v>
      </c>
      <c r="I183" s="3" t="s">
        <v>1091</v>
      </c>
      <c r="J183" s="3" t="s">
        <v>1092</v>
      </c>
      <c r="K183" s="3">
        <v>292293500</v>
      </c>
      <c r="L183" s="3" t="s">
        <v>1093</v>
      </c>
    </row>
    <row r="184" spans="1:12" x14ac:dyDescent="0.2">
      <c r="A184" s="1" t="s">
        <v>1094</v>
      </c>
      <c r="B184" s="2" t="str">
        <f>HYPERLINK("https://docket.philalegal.org/cgi-bin/proxy.pl?ct=220700530","220700530")</f>
        <v>220700530</v>
      </c>
      <c r="C184" s="3" t="s">
        <v>1095</v>
      </c>
      <c r="D184" s="3" t="s">
        <v>216</v>
      </c>
      <c r="E184" s="3" t="s">
        <v>1096</v>
      </c>
      <c r="F184" s="3" t="s">
        <v>36</v>
      </c>
      <c r="G184" s="3" t="s">
        <v>1097</v>
      </c>
      <c r="H184" s="3" t="s">
        <v>1097</v>
      </c>
      <c r="I184" s="3" t="s">
        <v>1098</v>
      </c>
      <c r="J184" s="3" t="s">
        <v>1099</v>
      </c>
      <c r="K184" s="3">
        <v>282237800</v>
      </c>
      <c r="L184" s="3" t="s">
        <v>1100</v>
      </c>
    </row>
    <row r="185" spans="1:12" x14ac:dyDescent="0.2">
      <c r="A185" s="1" t="s">
        <v>1101</v>
      </c>
      <c r="B185" s="2" t="str">
        <f>HYPERLINK("https://docket.philalegal.org/cgi-bin/proxy.pl?ct=160701399","160701399")</f>
        <v>160701399</v>
      </c>
      <c r="C185" s="3" t="s">
        <v>1102</v>
      </c>
      <c r="D185" s="3" t="s">
        <v>88</v>
      </c>
      <c r="E185" s="3" t="s">
        <v>475</v>
      </c>
      <c r="F185" s="3" t="s">
        <v>566</v>
      </c>
      <c r="G185" s="3" t="s">
        <v>1103</v>
      </c>
      <c r="H185" s="3" t="s">
        <v>1103</v>
      </c>
      <c r="I185" s="3"/>
      <c r="J185" s="3" t="s">
        <v>1104</v>
      </c>
      <c r="K185" s="3">
        <v>292168200</v>
      </c>
      <c r="L185" s="3" t="s">
        <v>1105</v>
      </c>
    </row>
    <row r="186" spans="1:12" x14ac:dyDescent="0.2">
      <c r="A186" s="1" t="s">
        <v>1106</v>
      </c>
      <c r="B186" s="2" t="str">
        <f>HYPERLINK("https://docket.philalegal.org/cgi-bin/proxy.pl?ct=140302691","140302691")</f>
        <v>140302691</v>
      </c>
      <c r="C186" s="3" t="s">
        <v>1107</v>
      </c>
      <c r="D186" s="3" t="s">
        <v>13</v>
      </c>
      <c r="E186" s="3" t="s">
        <v>1108</v>
      </c>
      <c r="F186" s="3" t="s">
        <v>732</v>
      </c>
      <c r="G186" s="3" t="s">
        <v>1109</v>
      </c>
      <c r="H186" s="3" t="s">
        <v>1109</v>
      </c>
      <c r="I186" s="3" t="s">
        <v>1110</v>
      </c>
      <c r="J186" s="3" t="s">
        <v>1111</v>
      </c>
      <c r="K186" s="3">
        <v>871069400</v>
      </c>
      <c r="L186" s="3" t="s">
        <v>1112</v>
      </c>
    </row>
    <row r="187" spans="1:12" x14ac:dyDescent="0.2">
      <c r="A187" s="1" t="s">
        <v>1113</v>
      </c>
      <c r="B187" s="2" t="str">
        <f>HYPERLINK("https://docket.philalegal.org/cgi-bin/proxy.pl?ct=120704302","120704302")</f>
        <v>120704302</v>
      </c>
      <c r="C187" s="3" t="s">
        <v>1114</v>
      </c>
      <c r="D187" s="3" t="s">
        <v>18</v>
      </c>
      <c r="E187" s="3" t="s">
        <v>1115</v>
      </c>
      <c r="F187" s="3" t="s">
        <v>36</v>
      </c>
      <c r="G187" s="3" t="s">
        <v>3652</v>
      </c>
      <c r="H187" s="3" t="s">
        <v>1116</v>
      </c>
      <c r="I187" s="3"/>
      <c r="J187" s="3" t="s">
        <v>1117</v>
      </c>
      <c r="K187" s="3" t="s">
        <v>1118</v>
      </c>
      <c r="L187" s="3" t="s">
        <v>1119</v>
      </c>
    </row>
    <row r="188" spans="1:12" x14ac:dyDescent="0.2">
      <c r="A188" s="1" t="s">
        <v>1120</v>
      </c>
      <c r="B188" s="2" t="str">
        <f>HYPERLINK("https://docket.philalegal.org/cgi-bin/proxy.pl?ct=220802728","220802728")</f>
        <v>220802728</v>
      </c>
      <c r="C188" s="3" t="s">
        <v>185</v>
      </c>
      <c r="D188" s="3" t="s">
        <v>216</v>
      </c>
      <c r="E188" s="3" t="s">
        <v>187</v>
      </c>
      <c r="F188" s="3" t="s">
        <v>188</v>
      </c>
      <c r="G188" s="3" t="s">
        <v>3653</v>
      </c>
      <c r="H188" s="3" t="s">
        <v>1121</v>
      </c>
      <c r="I188" s="3" t="s">
        <v>815</v>
      </c>
      <c r="J188" s="3" t="s">
        <v>1122</v>
      </c>
      <c r="K188" s="3">
        <v>772021395</v>
      </c>
      <c r="L188" s="3" t="s">
        <v>1123</v>
      </c>
    </row>
    <row r="189" spans="1:12" x14ac:dyDescent="0.2">
      <c r="A189" s="1" t="s">
        <v>1124</v>
      </c>
      <c r="B189" s="2" t="str">
        <f>HYPERLINK("https://docket.philalegal.org/cgi-bin/proxy.pl?ct=160703134","160703134")</f>
        <v>160703134</v>
      </c>
      <c r="C189" s="3" t="s">
        <v>1125</v>
      </c>
      <c r="D189" s="3" t="s">
        <v>18</v>
      </c>
      <c r="E189" s="3" t="s">
        <v>35</v>
      </c>
      <c r="F189" s="3" t="s">
        <v>173</v>
      </c>
      <c r="G189" s="3" t="s">
        <v>1126</v>
      </c>
      <c r="H189" s="3" t="s">
        <v>1126</v>
      </c>
      <c r="I189" s="3"/>
      <c r="J189" s="3" t="s">
        <v>1127</v>
      </c>
      <c r="K189" s="3">
        <v>231043400</v>
      </c>
      <c r="L189" s="3" t="s">
        <v>1128</v>
      </c>
    </row>
    <row r="190" spans="1:12" x14ac:dyDescent="0.2">
      <c r="A190" s="1" t="s">
        <v>1129</v>
      </c>
      <c r="B190" s="2" t="str">
        <f>HYPERLINK("https://docket.philalegal.org/cgi-bin/proxy.pl?ct=130800752","130800752")</f>
        <v>130800752</v>
      </c>
      <c r="C190" s="3" t="s">
        <v>1130</v>
      </c>
      <c r="D190" s="3" t="s">
        <v>13</v>
      </c>
      <c r="E190" s="3" t="s">
        <v>1131</v>
      </c>
      <c r="F190" s="3" t="s">
        <v>36</v>
      </c>
      <c r="G190" s="3" t="s">
        <v>1132</v>
      </c>
      <c r="H190" s="3" t="s">
        <v>1132</v>
      </c>
      <c r="I190" s="3" t="s">
        <v>282</v>
      </c>
      <c r="J190" s="3" t="s">
        <v>1133</v>
      </c>
      <c r="K190" s="3">
        <v>453026100</v>
      </c>
      <c r="L190" s="3" t="s">
        <v>1134</v>
      </c>
    </row>
    <row r="191" spans="1:12" x14ac:dyDescent="0.2">
      <c r="A191" s="1" t="s">
        <v>1135</v>
      </c>
      <c r="B191" s="2" t="str">
        <f>HYPERLINK("https://docket.philalegal.org/cgi-bin/proxy.pl?ct=220501899","220501899")</f>
        <v>220501899</v>
      </c>
      <c r="C191" s="3" t="s">
        <v>185</v>
      </c>
      <c r="D191" s="3" t="s">
        <v>18</v>
      </c>
      <c r="E191" s="3" t="s">
        <v>187</v>
      </c>
      <c r="F191" s="3" t="s">
        <v>188</v>
      </c>
      <c r="G191" s="3"/>
      <c r="H191" s="3" t="s">
        <v>1136</v>
      </c>
      <c r="I191" s="3"/>
      <c r="J191" s="3" t="s">
        <v>1137</v>
      </c>
      <c r="K191" s="3">
        <v>202161801</v>
      </c>
      <c r="L191" s="3" t="s">
        <v>267</v>
      </c>
    </row>
    <row r="192" spans="1:12" x14ac:dyDescent="0.2">
      <c r="A192" s="1" t="s">
        <v>1138</v>
      </c>
      <c r="B192" s="2" t="str">
        <f>HYPERLINK("https://docket.philalegal.org/cgi-bin/proxy.pl?ct=220300748","220300748")</f>
        <v>220300748</v>
      </c>
      <c r="C192" s="3" t="s">
        <v>325</v>
      </c>
      <c r="D192" s="3" t="s">
        <v>13</v>
      </c>
      <c r="E192" s="3" t="s">
        <v>326</v>
      </c>
      <c r="F192" s="3" t="s">
        <v>1139</v>
      </c>
      <c r="G192" s="3"/>
      <c r="H192" s="3" t="s">
        <v>1140</v>
      </c>
      <c r="I192" s="3"/>
      <c r="J192" s="3" t="s">
        <v>1141</v>
      </c>
      <c r="K192" s="3">
        <v>461005500</v>
      </c>
      <c r="L192" s="3" t="s">
        <v>1142</v>
      </c>
    </row>
    <row r="193" spans="1:12" x14ac:dyDescent="0.2">
      <c r="A193" s="1" t="s">
        <v>1143</v>
      </c>
      <c r="B193" s="2" t="str">
        <f>HYPERLINK("https://docket.philalegal.org/cgi-bin/proxy.pl?ct=200101933","200101933")</f>
        <v>200101933</v>
      </c>
      <c r="C193" s="3" t="s">
        <v>1144</v>
      </c>
      <c r="D193" s="3" t="s">
        <v>18</v>
      </c>
      <c r="E193" s="3" t="s">
        <v>319</v>
      </c>
      <c r="F193" s="3" t="s">
        <v>320</v>
      </c>
      <c r="G193" s="3" t="s">
        <v>1145</v>
      </c>
      <c r="H193" s="3" t="s">
        <v>1145</v>
      </c>
      <c r="I193" s="3"/>
      <c r="J193" s="3" t="s">
        <v>1137</v>
      </c>
      <c r="K193" s="3">
        <v>202161801</v>
      </c>
      <c r="L193" s="3" t="s">
        <v>1146</v>
      </c>
    </row>
    <row r="194" spans="1:12" x14ac:dyDescent="0.2">
      <c r="A194" s="1" t="s">
        <v>1147</v>
      </c>
      <c r="B194" s="2" t="str">
        <f>HYPERLINK("https://docket.philalegal.org/cgi-bin/proxy.pl?ct=160800801","160800801")</f>
        <v>160800801</v>
      </c>
      <c r="C194" s="3" t="s">
        <v>1148</v>
      </c>
      <c r="D194" s="3" t="s">
        <v>18</v>
      </c>
      <c r="E194" s="3" t="s">
        <v>1149</v>
      </c>
      <c r="F194" s="3" t="s">
        <v>173</v>
      </c>
      <c r="G194" s="3" t="s">
        <v>3654</v>
      </c>
      <c r="H194" s="3" t="s">
        <v>1150</v>
      </c>
      <c r="I194" s="3"/>
      <c r="J194" s="3" t="s">
        <v>1151</v>
      </c>
      <c r="K194" s="3">
        <v>365167900</v>
      </c>
      <c r="L194" s="3" t="s">
        <v>1152</v>
      </c>
    </row>
    <row r="195" spans="1:12" x14ac:dyDescent="0.2">
      <c r="A195" s="1" t="s">
        <v>1153</v>
      </c>
      <c r="B195" s="2" t="str">
        <f>HYPERLINK("https://docket.philalegal.org/cgi-bin/proxy.pl?ct=150101087","150101087")</f>
        <v>150101087</v>
      </c>
      <c r="C195" s="3" t="s">
        <v>1154</v>
      </c>
      <c r="D195" s="3" t="s">
        <v>18</v>
      </c>
      <c r="E195" s="3" t="s">
        <v>526</v>
      </c>
      <c r="F195" s="3" t="s">
        <v>36</v>
      </c>
      <c r="G195" s="3" t="s">
        <v>1155</v>
      </c>
      <c r="H195" s="3" t="s">
        <v>1155</v>
      </c>
      <c r="I195" s="3"/>
      <c r="J195" s="3" t="s">
        <v>1156</v>
      </c>
      <c r="K195" s="3">
        <v>292201500</v>
      </c>
      <c r="L195" s="3" t="s">
        <v>1157</v>
      </c>
    </row>
    <row r="196" spans="1:12" x14ac:dyDescent="0.2">
      <c r="A196" s="1" t="s">
        <v>1158</v>
      </c>
      <c r="B196" s="2" t="str">
        <f>HYPERLINK("https://docket.philalegal.org/cgi-bin/proxy.pl?ct=150203236","150203236")</f>
        <v>150203236</v>
      </c>
      <c r="C196" s="3" t="s">
        <v>1159</v>
      </c>
      <c r="D196" s="3" t="s">
        <v>64</v>
      </c>
      <c r="E196" s="3" t="s">
        <v>35</v>
      </c>
      <c r="F196" s="3" t="s">
        <v>36</v>
      </c>
      <c r="G196" s="3" t="s">
        <v>3655</v>
      </c>
      <c r="H196" s="3" t="s">
        <v>1160</v>
      </c>
      <c r="I196" s="3" t="s">
        <v>20</v>
      </c>
      <c r="J196" s="3" t="s">
        <v>1161</v>
      </c>
      <c r="K196" s="3">
        <v>363170500</v>
      </c>
      <c r="L196" s="3" t="s">
        <v>1162</v>
      </c>
    </row>
    <row r="197" spans="1:12" x14ac:dyDescent="0.2">
      <c r="A197" s="1" t="s">
        <v>1163</v>
      </c>
      <c r="B197" s="2" t="str">
        <f>HYPERLINK("https://docket.philalegal.org/cgi-bin/proxy.pl?ct=231101614","231101614")</f>
        <v>231101614</v>
      </c>
      <c r="C197" s="3" t="s">
        <v>1164</v>
      </c>
      <c r="D197" s="3" t="s">
        <v>216</v>
      </c>
      <c r="E197" s="3" t="s">
        <v>1165</v>
      </c>
      <c r="F197" s="3" t="s">
        <v>1165</v>
      </c>
      <c r="G197" s="3" t="s">
        <v>1166</v>
      </c>
      <c r="H197" s="3" t="s">
        <v>1166</v>
      </c>
      <c r="I197" s="3"/>
      <c r="J197" s="3" t="s">
        <v>1167</v>
      </c>
      <c r="K197" s="3">
        <v>884441346</v>
      </c>
      <c r="L197" s="3" t="s">
        <v>1168</v>
      </c>
    </row>
    <row r="198" spans="1:12" x14ac:dyDescent="0.2">
      <c r="A198" s="1" t="s">
        <v>1169</v>
      </c>
      <c r="B198" s="2" t="str">
        <f>HYPERLINK("https://docket.philalegal.org/cgi-bin/proxy.pl?ct=230502393","230502393")</f>
        <v>230502393</v>
      </c>
      <c r="C198" s="3" t="s">
        <v>185</v>
      </c>
      <c r="D198" s="3" t="s">
        <v>208</v>
      </c>
      <c r="E198" s="3" t="s">
        <v>187</v>
      </c>
      <c r="F198" s="3" t="s">
        <v>210</v>
      </c>
      <c r="G198" s="3" t="s">
        <v>3656</v>
      </c>
      <c r="H198" s="3" t="s">
        <v>1170</v>
      </c>
      <c r="I198" s="3"/>
      <c r="J198" s="3" t="s">
        <v>1171</v>
      </c>
      <c r="K198" s="3">
        <v>371388500</v>
      </c>
      <c r="L198" s="3" t="s">
        <v>1172</v>
      </c>
    </row>
    <row r="199" spans="1:12" x14ac:dyDescent="0.2">
      <c r="A199" s="1" t="s">
        <v>1173</v>
      </c>
      <c r="B199" s="2" t="str">
        <f>HYPERLINK("https://docket.philalegal.org/cgi-bin/proxy.pl?ct=150801677","150801677")</f>
        <v>150801677</v>
      </c>
      <c r="C199" s="3" t="s">
        <v>1174</v>
      </c>
      <c r="D199" s="3" t="s">
        <v>166</v>
      </c>
      <c r="E199" s="3" t="s">
        <v>35</v>
      </c>
      <c r="F199" s="3" t="s">
        <v>36</v>
      </c>
      <c r="G199" s="3" t="s">
        <v>3630</v>
      </c>
      <c r="H199" s="3" t="s">
        <v>660</v>
      </c>
      <c r="I199" s="3"/>
      <c r="J199" s="3" t="s">
        <v>661</v>
      </c>
      <c r="K199" s="3">
        <v>365200500</v>
      </c>
      <c r="L199" s="3" t="s">
        <v>1175</v>
      </c>
    </row>
    <row r="200" spans="1:12" x14ac:dyDescent="0.2">
      <c r="A200" s="1" t="s">
        <v>1176</v>
      </c>
      <c r="B200" s="2" t="str">
        <f>HYPERLINK("https://docket.philalegal.org/cgi-bin/proxy.pl?ct=151000565","151000565")</f>
        <v>151000565</v>
      </c>
      <c r="C200" s="3" t="s">
        <v>1177</v>
      </c>
      <c r="D200" s="3" t="s">
        <v>13</v>
      </c>
      <c r="E200" s="3" t="s">
        <v>1178</v>
      </c>
      <c r="F200" s="3" t="s">
        <v>36</v>
      </c>
      <c r="G200" s="3" t="s">
        <v>3657</v>
      </c>
      <c r="H200" s="3" t="s">
        <v>1179</v>
      </c>
      <c r="I200" s="3" t="s">
        <v>1180</v>
      </c>
      <c r="J200" s="3" t="s">
        <v>1181</v>
      </c>
      <c r="K200" s="3">
        <v>471013000</v>
      </c>
      <c r="L200" s="3" t="s">
        <v>1182</v>
      </c>
    </row>
    <row r="201" spans="1:12" x14ac:dyDescent="0.2">
      <c r="A201" s="1" t="s">
        <v>1183</v>
      </c>
      <c r="B201" s="2" t="str">
        <f>HYPERLINK("https://docket.philalegal.org/cgi-bin/proxy.pl?ct=210401034","210401034")</f>
        <v>210401034</v>
      </c>
      <c r="C201" s="3" t="s">
        <v>185</v>
      </c>
      <c r="D201" s="3" t="s">
        <v>18</v>
      </c>
      <c r="E201" s="3" t="s">
        <v>187</v>
      </c>
      <c r="F201" s="3" t="s">
        <v>20</v>
      </c>
      <c r="G201" s="3"/>
      <c r="H201" s="3" t="s">
        <v>1184</v>
      </c>
      <c r="I201" s="3" t="s">
        <v>1185</v>
      </c>
      <c r="J201" s="3" t="s">
        <v>1186</v>
      </c>
      <c r="K201" s="3">
        <v>323026900</v>
      </c>
      <c r="L201" s="3" t="s">
        <v>267</v>
      </c>
    </row>
    <row r="202" spans="1:12" x14ac:dyDescent="0.2">
      <c r="A202" s="1" t="s">
        <v>1187</v>
      </c>
      <c r="B202" s="2" t="str">
        <f>HYPERLINK("https://docket.philalegal.org/cgi-bin/proxy.pl?ct=200201970","200201970")</f>
        <v>200201970</v>
      </c>
      <c r="C202" s="3" t="s">
        <v>185</v>
      </c>
      <c r="D202" s="3" t="s">
        <v>18</v>
      </c>
      <c r="E202" s="3" t="s">
        <v>187</v>
      </c>
      <c r="F202" s="3" t="s">
        <v>1188</v>
      </c>
      <c r="G202" s="3"/>
      <c r="H202" s="3" t="s">
        <v>1189</v>
      </c>
      <c r="I202" s="3" t="s">
        <v>1190</v>
      </c>
      <c r="J202" s="3" t="s">
        <v>1191</v>
      </c>
      <c r="K202" s="3">
        <v>772093000</v>
      </c>
      <c r="L202" s="3" t="s">
        <v>267</v>
      </c>
    </row>
    <row r="203" spans="1:12" x14ac:dyDescent="0.2">
      <c r="A203" s="1" t="s">
        <v>1192</v>
      </c>
      <c r="B203" s="2" t="str">
        <f>HYPERLINK("https://docket.philalegal.org/cgi-bin/proxy.pl?ct=200102557","200102557")</f>
        <v>200102557</v>
      </c>
      <c r="C203" s="3" t="s">
        <v>1193</v>
      </c>
      <c r="D203" s="3" t="s">
        <v>88</v>
      </c>
      <c r="E203" s="3" t="s">
        <v>35</v>
      </c>
      <c r="F203" s="3" t="s">
        <v>1194</v>
      </c>
      <c r="G203" s="3" t="s">
        <v>3898</v>
      </c>
      <c r="H203" s="3" t="s">
        <v>1195</v>
      </c>
      <c r="I203" s="3" t="s">
        <v>1196</v>
      </c>
      <c r="J203" s="3" t="s">
        <v>1197</v>
      </c>
      <c r="K203" s="3">
        <v>412432500</v>
      </c>
      <c r="L203" s="3" t="s">
        <v>1198</v>
      </c>
    </row>
    <row r="204" spans="1:12" x14ac:dyDescent="0.2">
      <c r="A204" s="1" t="s">
        <v>1199</v>
      </c>
      <c r="B204" s="2" t="str">
        <f>HYPERLINK("https://docket.philalegal.org/cgi-bin/proxy.pl?ct=220701363","220701363")</f>
        <v>220701363</v>
      </c>
      <c r="C204" s="3" t="s">
        <v>185</v>
      </c>
      <c r="D204" s="3" t="s">
        <v>18</v>
      </c>
      <c r="E204" s="3" t="s">
        <v>187</v>
      </c>
      <c r="F204" s="3" t="s">
        <v>210</v>
      </c>
      <c r="G204" s="3"/>
      <c r="H204" s="3" t="s">
        <v>1200</v>
      </c>
      <c r="I204" s="3" t="s">
        <v>1201</v>
      </c>
      <c r="J204" s="3" t="s">
        <v>1202</v>
      </c>
      <c r="K204" s="3">
        <v>363023400</v>
      </c>
      <c r="L204" s="3" t="s">
        <v>1203</v>
      </c>
    </row>
    <row r="205" spans="1:12" x14ac:dyDescent="0.2">
      <c r="A205" s="1" t="s">
        <v>1204</v>
      </c>
      <c r="B205" s="2" t="str">
        <f>HYPERLINK("https://docket.philalegal.org/cgi-bin/proxy.pl?ct=220900211","220900211")</f>
        <v>220900211</v>
      </c>
      <c r="C205" s="3" t="s">
        <v>185</v>
      </c>
      <c r="D205" s="3" t="s">
        <v>18</v>
      </c>
      <c r="E205" s="3" t="s">
        <v>187</v>
      </c>
      <c r="F205" s="3" t="s">
        <v>210</v>
      </c>
      <c r="G205" s="3" t="s">
        <v>3658</v>
      </c>
      <c r="H205" s="3" t="s">
        <v>1205</v>
      </c>
      <c r="I205" s="3"/>
      <c r="J205" s="3" t="s">
        <v>1206</v>
      </c>
      <c r="K205" s="3">
        <v>322140800</v>
      </c>
      <c r="L205" s="3" t="s">
        <v>267</v>
      </c>
    </row>
    <row r="206" spans="1:12" x14ac:dyDescent="0.2">
      <c r="A206" s="1" t="s">
        <v>1207</v>
      </c>
      <c r="B206" s="2" t="str">
        <f>HYPERLINK("https://docket.philalegal.org/cgi-bin/proxy.pl?ct=160401069","160401069")</f>
        <v>160401069</v>
      </c>
      <c r="C206" s="3" t="s">
        <v>1208</v>
      </c>
      <c r="D206" s="3" t="s">
        <v>13</v>
      </c>
      <c r="E206" s="3" t="s">
        <v>35</v>
      </c>
      <c r="F206" s="3" t="s">
        <v>173</v>
      </c>
      <c r="G206" s="3" t="s">
        <v>3877</v>
      </c>
      <c r="H206" s="3" t="s">
        <v>1209</v>
      </c>
      <c r="I206" s="3" t="s">
        <v>1210</v>
      </c>
      <c r="J206" s="3" t="s">
        <v>1211</v>
      </c>
      <c r="K206" s="3">
        <v>365187500</v>
      </c>
      <c r="L206" s="3" t="s">
        <v>1212</v>
      </c>
    </row>
    <row r="207" spans="1:12" x14ac:dyDescent="0.2">
      <c r="A207" s="1" t="s">
        <v>1213</v>
      </c>
      <c r="B207" s="2" t="str">
        <f>HYPERLINK("https://docket.philalegal.org/cgi-bin/proxy.pl?ct=220302844","220302844")</f>
        <v>220302844</v>
      </c>
      <c r="C207" s="3" t="s">
        <v>1214</v>
      </c>
      <c r="D207" s="3" t="s">
        <v>830</v>
      </c>
      <c r="E207" s="3" t="s">
        <v>252</v>
      </c>
      <c r="F207" s="3" t="s">
        <v>36</v>
      </c>
      <c r="G207" s="3" t="s">
        <v>1215</v>
      </c>
      <c r="H207" s="3" t="s">
        <v>1215</v>
      </c>
      <c r="I207" s="3"/>
      <c r="J207" s="3" t="s">
        <v>1216</v>
      </c>
      <c r="K207" s="3">
        <v>324109400</v>
      </c>
      <c r="L207" s="3" t="s">
        <v>1217</v>
      </c>
    </row>
    <row r="208" spans="1:12" x14ac:dyDescent="0.2">
      <c r="A208" s="1" t="s">
        <v>1218</v>
      </c>
      <c r="B208" s="2" t="str">
        <f>HYPERLINK("https://docket.philalegal.org/cgi-bin/proxy.pl?ct=140401341","140401341")</f>
        <v>140401341</v>
      </c>
      <c r="C208" s="3" t="s">
        <v>1219</v>
      </c>
      <c r="D208" s="3" t="s">
        <v>1220</v>
      </c>
      <c r="E208" s="3" t="s">
        <v>35</v>
      </c>
      <c r="F208" s="3" t="s">
        <v>36</v>
      </c>
      <c r="G208" s="3" t="s">
        <v>3659</v>
      </c>
      <c r="H208" s="3" t="s">
        <v>1221</v>
      </c>
      <c r="I208" s="3" t="s">
        <v>1222</v>
      </c>
      <c r="J208" s="3" t="s">
        <v>1223</v>
      </c>
      <c r="K208" s="3">
        <v>363198500</v>
      </c>
      <c r="L208" s="3" t="s">
        <v>1224</v>
      </c>
    </row>
    <row r="209" spans="1:12" x14ac:dyDescent="0.2">
      <c r="A209" s="1" t="s">
        <v>1225</v>
      </c>
      <c r="B209" s="2" t="str">
        <f>HYPERLINK("https://docket.philalegal.org/cgi-bin/proxy.pl?ct=160401287","160401287")</f>
        <v>160401287</v>
      </c>
      <c r="C209" s="3" t="s">
        <v>1226</v>
      </c>
      <c r="D209" s="3" t="s">
        <v>13</v>
      </c>
      <c r="E209" s="3" t="s">
        <v>35</v>
      </c>
      <c r="F209" s="3" t="s">
        <v>173</v>
      </c>
      <c r="G209" s="3" t="s">
        <v>3660</v>
      </c>
      <c r="H209" s="3" t="s">
        <v>1227</v>
      </c>
      <c r="I209" s="3"/>
      <c r="J209" s="3" t="s">
        <v>1228</v>
      </c>
      <c r="K209" s="3">
        <v>641218301</v>
      </c>
      <c r="L209" s="3" t="s">
        <v>1229</v>
      </c>
    </row>
    <row r="210" spans="1:12" x14ac:dyDescent="0.2">
      <c r="A210" s="1" t="s">
        <v>1230</v>
      </c>
      <c r="B210" s="2" t="str">
        <f>HYPERLINK("https://docket.philalegal.org/cgi-bin/proxy.pl?ct=190403502","190403502")</f>
        <v>190403502</v>
      </c>
      <c r="C210" s="3" t="s">
        <v>185</v>
      </c>
      <c r="D210" s="3" t="s">
        <v>18</v>
      </c>
      <c r="E210" s="3" t="s">
        <v>187</v>
      </c>
      <c r="F210" s="3" t="s">
        <v>210</v>
      </c>
      <c r="G210" s="3"/>
      <c r="H210" s="3" t="s">
        <v>1231</v>
      </c>
      <c r="I210" s="3"/>
      <c r="J210" s="3" t="s">
        <v>1232</v>
      </c>
      <c r="K210" s="3">
        <v>471102400</v>
      </c>
      <c r="L210" s="3" t="s">
        <v>267</v>
      </c>
    </row>
    <row r="211" spans="1:12" x14ac:dyDescent="0.2">
      <c r="A211" s="1" t="s">
        <v>1233</v>
      </c>
      <c r="B211" s="2" t="str">
        <f>HYPERLINK("https://docket.philalegal.org/cgi-bin/proxy.pl?ct=191001726","191001726")</f>
        <v>191001726</v>
      </c>
      <c r="C211" s="3" t="s">
        <v>185</v>
      </c>
      <c r="D211" s="3" t="s">
        <v>13</v>
      </c>
      <c r="E211" s="3" t="s">
        <v>187</v>
      </c>
      <c r="F211" s="3" t="s">
        <v>20</v>
      </c>
      <c r="G211" s="3" t="s">
        <v>1234</v>
      </c>
      <c r="H211" s="3" t="s">
        <v>1234</v>
      </c>
      <c r="I211" s="3"/>
      <c r="J211" s="3" t="s">
        <v>1235</v>
      </c>
      <c r="K211" s="3">
        <v>202174900</v>
      </c>
      <c r="L211" s="3" t="s">
        <v>1236</v>
      </c>
    </row>
    <row r="212" spans="1:12" x14ac:dyDescent="0.2">
      <c r="A212" s="1" t="s">
        <v>1237</v>
      </c>
      <c r="B212" s="2" t="str">
        <f>HYPERLINK("https://docket.philalegal.org/cgi-bin/proxy.pl?ct=191100702","191100702")</f>
        <v>191100702</v>
      </c>
      <c r="C212" s="3" t="s">
        <v>1238</v>
      </c>
      <c r="D212" s="3" t="s">
        <v>88</v>
      </c>
      <c r="E212" s="3" t="s">
        <v>35</v>
      </c>
      <c r="F212" s="3" t="s">
        <v>313</v>
      </c>
      <c r="G212" s="3"/>
      <c r="H212" s="3" t="s">
        <v>1239</v>
      </c>
      <c r="I212" s="3" t="s">
        <v>1240</v>
      </c>
      <c r="J212" s="3" t="s">
        <v>1241</v>
      </c>
      <c r="K212" s="3" t="s">
        <v>1242</v>
      </c>
      <c r="L212" s="3" t="s">
        <v>1243</v>
      </c>
    </row>
    <row r="213" spans="1:12" x14ac:dyDescent="0.2">
      <c r="A213" s="1" t="s">
        <v>1244</v>
      </c>
      <c r="B213" s="2" t="str">
        <f>HYPERLINK("https://docket.philalegal.org/cgi-bin/proxy.pl?ct=190100867","190100867")</f>
        <v>190100867</v>
      </c>
      <c r="C213" s="3" t="s">
        <v>1245</v>
      </c>
      <c r="D213" s="3" t="s">
        <v>13</v>
      </c>
      <c r="E213" s="3" t="s">
        <v>270</v>
      </c>
      <c r="F213" s="3" t="s">
        <v>688</v>
      </c>
      <c r="G213" s="3"/>
      <c r="H213" s="3" t="s">
        <v>1246</v>
      </c>
      <c r="I213" s="3"/>
      <c r="J213" s="3" t="s">
        <v>976</v>
      </c>
      <c r="K213" s="3">
        <v>777504900</v>
      </c>
      <c r="L213" s="3" t="s">
        <v>1247</v>
      </c>
    </row>
    <row r="214" spans="1:12" x14ac:dyDescent="0.2">
      <c r="A214" s="1" t="s">
        <v>1248</v>
      </c>
      <c r="B214" s="2" t="str">
        <f>HYPERLINK("https://docket.philalegal.org/cgi-bin/proxy.pl?ct=180801385","180801385")</f>
        <v>180801385</v>
      </c>
      <c r="C214" s="3" t="s">
        <v>1249</v>
      </c>
      <c r="D214" s="3" t="s">
        <v>13</v>
      </c>
      <c r="E214" s="3" t="s">
        <v>230</v>
      </c>
      <c r="F214" s="3" t="s">
        <v>173</v>
      </c>
      <c r="G214" s="3" t="s">
        <v>3752</v>
      </c>
      <c r="H214" s="3" t="s">
        <v>1250</v>
      </c>
      <c r="I214" s="3" t="s">
        <v>1251</v>
      </c>
      <c r="J214" s="3" t="s">
        <v>1252</v>
      </c>
      <c r="K214" s="3">
        <v>362046200</v>
      </c>
      <c r="L214" s="3" t="s">
        <v>1253</v>
      </c>
    </row>
    <row r="215" spans="1:12" x14ac:dyDescent="0.2">
      <c r="A215" s="1" t="s">
        <v>1254</v>
      </c>
      <c r="B215" s="2" t="str">
        <f>HYPERLINK("https://docket.philalegal.org/cgi-bin/proxy.pl?ct=160402276","160402276")</f>
        <v>160402276</v>
      </c>
      <c r="C215" s="3" t="s">
        <v>1255</v>
      </c>
      <c r="D215" s="3" t="s">
        <v>88</v>
      </c>
      <c r="E215" s="3" t="s">
        <v>1149</v>
      </c>
      <c r="F215" s="3" t="s">
        <v>173</v>
      </c>
      <c r="G215" s="3" t="s">
        <v>3878</v>
      </c>
      <c r="H215" s="3" t="s">
        <v>1256</v>
      </c>
      <c r="I215" s="3" t="s">
        <v>1257</v>
      </c>
      <c r="J215" s="3" t="s">
        <v>1258</v>
      </c>
      <c r="K215" s="3">
        <v>365225800</v>
      </c>
      <c r="L215" s="3" t="s">
        <v>1259</v>
      </c>
    </row>
    <row r="216" spans="1:12" x14ac:dyDescent="0.2">
      <c r="A216" s="1" t="s">
        <v>1260</v>
      </c>
      <c r="B216" s="2" t="str">
        <f>HYPERLINK("https://docket.philalegal.org/cgi-bin/proxy.pl?ct=200501052","200501052")</f>
        <v>200501052</v>
      </c>
      <c r="C216" s="3" t="s">
        <v>185</v>
      </c>
      <c r="D216" s="3" t="s">
        <v>18</v>
      </c>
      <c r="E216" s="3" t="s">
        <v>187</v>
      </c>
      <c r="F216" s="3" t="s">
        <v>497</v>
      </c>
      <c r="G216" s="3" t="s">
        <v>1261</v>
      </c>
      <c r="H216" s="3" t="s">
        <v>1261</v>
      </c>
      <c r="I216" s="3" t="s">
        <v>1262</v>
      </c>
      <c r="J216" s="3" t="s">
        <v>1263</v>
      </c>
      <c r="K216" s="3">
        <v>323342000</v>
      </c>
      <c r="L216" s="3" t="s">
        <v>347</v>
      </c>
    </row>
    <row r="217" spans="1:12" x14ac:dyDescent="0.2">
      <c r="A217" s="1" t="s">
        <v>1264</v>
      </c>
      <c r="B217" s="2" t="str">
        <f>HYPERLINK("https://docket.philalegal.org/cgi-bin/proxy.pl?ct=190701624","190701624")</f>
        <v>190701624</v>
      </c>
      <c r="C217" s="3" t="s">
        <v>1265</v>
      </c>
      <c r="D217" s="3" t="s">
        <v>13</v>
      </c>
      <c r="E217" s="3" t="s">
        <v>230</v>
      </c>
      <c r="F217" s="3" t="s">
        <v>36</v>
      </c>
      <c r="G217" s="3" t="s">
        <v>1266</v>
      </c>
      <c r="H217" s="3" t="s">
        <v>1266</v>
      </c>
      <c r="I217" s="3" t="s">
        <v>1267</v>
      </c>
      <c r="J217" s="3" t="s">
        <v>1268</v>
      </c>
      <c r="K217" s="3">
        <v>273030100</v>
      </c>
      <c r="L217" s="3" t="s">
        <v>1269</v>
      </c>
    </row>
    <row r="218" spans="1:12" x14ac:dyDescent="0.2">
      <c r="A218" s="1" t="s">
        <v>1270</v>
      </c>
      <c r="B218" s="2" t="str">
        <f>HYPERLINK("https://docket.philalegal.org/cgi-bin/proxy.pl?ct=220900239","220900239")</f>
        <v>220900239</v>
      </c>
      <c r="C218" s="3" t="s">
        <v>1271</v>
      </c>
      <c r="D218" s="3" t="s">
        <v>216</v>
      </c>
      <c r="E218" s="3" t="s">
        <v>194</v>
      </c>
      <c r="F218" s="3" t="s">
        <v>1272</v>
      </c>
      <c r="G218" s="3"/>
      <c r="H218" s="3" t="s">
        <v>1273</v>
      </c>
      <c r="I218" s="3" t="s">
        <v>36</v>
      </c>
      <c r="J218" s="3" t="s">
        <v>1274</v>
      </c>
      <c r="K218" s="3">
        <v>773203000</v>
      </c>
      <c r="L218" s="3" t="s">
        <v>1275</v>
      </c>
    </row>
    <row r="219" spans="1:12" x14ac:dyDescent="0.2">
      <c r="A219" s="1" t="s">
        <v>1276</v>
      </c>
      <c r="B219" s="2" t="str">
        <f>HYPERLINK("https://docket.philalegal.org/cgi-bin/proxy.pl?ct=130403612","130403612")</f>
        <v>130403612</v>
      </c>
      <c r="C219" s="3" t="s">
        <v>1277</v>
      </c>
      <c r="D219" s="3" t="s">
        <v>88</v>
      </c>
      <c r="E219" s="3" t="s">
        <v>35</v>
      </c>
      <c r="F219" s="3" t="s">
        <v>36</v>
      </c>
      <c r="G219" s="3" t="s">
        <v>1278</v>
      </c>
      <c r="H219" s="3" t="s">
        <v>1278</v>
      </c>
      <c r="I219" s="3" t="s">
        <v>1279</v>
      </c>
      <c r="J219" s="3" t="s">
        <v>1280</v>
      </c>
      <c r="K219" s="3" t="s">
        <v>1281</v>
      </c>
      <c r="L219" s="3" t="s">
        <v>1282</v>
      </c>
    </row>
    <row r="220" spans="1:12" x14ac:dyDescent="0.2">
      <c r="A220" s="1" t="s">
        <v>1283</v>
      </c>
      <c r="B220" s="2" t="str">
        <f>HYPERLINK("https://docket.philalegal.org/cgi-bin/proxy.pl?ct=190400639","190400639")</f>
        <v>190400639</v>
      </c>
      <c r="C220" s="3" t="s">
        <v>1284</v>
      </c>
      <c r="D220" s="3" t="s">
        <v>18</v>
      </c>
      <c r="E220" s="3" t="s">
        <v>1285</v>
      </c>
      <c r="F220" s="3" t="s">
        <v>36</v>
      </c>
      <c r="G220" s="3" t="s">
        <v>3899</v>
      </c>
      <c r="H220" s="3" t="s">
        <v>1286</v>
      </c>
      <c r="I220" s="3"/>
      <c r="J220" s="3" t="s">
        <v>1287</v>
      </c>
      <c r="K220" s="3">
        <v>273149000</v>
      </c>
      <c r="L220" s="3" t="s">
        <v>1288</v>
      </c>
    </row>
    <row r="221" spans="1:12" x14ac:dyDescent="0.2">
      <c r="A221" s="1" t="s">
        <v>1289</v>
      </c>
      <c r="B221" s="2" t="str">
        <f>HYPERLINK("https://docket.philalegal.org/cgi-bin/proxy.pl?ct=190101404","190101404")</f>
        <v>190101404</v>
      </c>
      <c r="C221" s="3" t="s">
        <v>1290</v>
      </c>
      <c r="D221" s="3" t="s">
        <v>13</v>
      </c>
      <c r="E221" s="3" t="s">
        <v>496</v>
      </c>
      <c r="F221" s="3" t="s">
        <v>497</v>
      </c>
      <c r="G221" s="3" t="s">
        <v>3879</v>
      </c>
      <c r="H221" s="3" t="s">
        <v>1291</v>
      </c>
      <c r="I221" s="3"/>
      <c r="J221" s="3" t="s">
        <v>1292</v>
      </c>
      <c r="K221" s="3">
        <v>471115610</v>
      </c>
      <c r="L221" s="3" t="s">
        <v>1293</v>
      </c>
    </row>
    <row r="222" spans="1:12" x14ac:dyDescent="0.2">
      <c r="A222" s="1" t="s">
        <v>1294</v>
      </c>
      <c r="B222" s="2" t="str">
        <f>HYPERLINK("https://docket.philalegal.org/cgi-bin/proxy.pl?ct=180403209","180403209")</f>
        <v>180403209</v>
      </c>
      <c r="C222" s="3" t="s">
        <v>704</v>
      </c>
      <c r="D222" s="3" t="s">
        <v>13</v>
      </c>
      <c r="E222" s="3" t="s">
        <v>187</v>
      </c>
      <c r="F222" s="3" t="s">
        <v>1295</v>
      </c>
      <c r="G222" s="3"/>
      <c r="H222" s="3" t="s">
        <v>1296</v>
      </c>
      <c r="I222" s="3" t="s">
        <v>1297</v>
      </c>
      <c r="J222" s="3" t="s">
        <v>1298</v>
      </c>
      <c r="K222" s="3">
        <v>152273200</v>
      </c>
      <c r="L222" s="3" t="s">
        <v>1299</v>
      </c>
    </row>
    <row r="223" spans="1:12" x14ac:dyDescent="0.2">
      <c r="A223" s="1" t="s">
        <v>1300</v>
      </c>
      <c r="B223" s="2" t="str">
        <f>HYPERLINK("https://docket.philalegal.org/cgi-bin/proxy.pl?ct=220500071","220500071")</f>
        <v>220500071</v>
      </c>
      <c r="C223" s="3" t="s">
        <v>1301</v>
      </c>
      <c r="D223" s="3" t="s">
        <v>332</v>
      </c>
      <c r="E223" s="3" t="s">
        <v>305</v>
      </c>
      <c r="F223" s="3" t="s">
        <v>210</v>
      </c>
      <c r="G223" s="3"/>
      <c r="H223" s="3" t="s">
        <v>1302</v>
      </c>
      <c r="I223" s="3" t="s">
        <v>561</v>
      </c>
      <c r="J223" s="3" t="s">
        <v>1303</v>
      </c>
      <c r="K223" s="3">
        <v>361318100</v>
      </c>
      <c r="L223" s="3" t="s">
        <v>1304</v>
      </c>
    </row>
    <row r="224" spans="1:12" x14ac:dyDescent="0.2">
      <c r="A224" s="1" t="s">
        <v>1305</v>
      </c>
      <c r="B224" s="2" t="str">
        <f>HYPERLINK("https://docket.philalegal.org/cgi-bin/proxy.pl?ct=160302292","160302292")</f>
        <v>160302292</v>
      </c>
      <c r="C224" s="3" t="s">
        <v>1306</v>
      </c>
      <c r="D224" s="3" t="s">
        <v>152</v>
      </c>
      <c r="E224" s="3" t="s">
        <v>573</v>
      </c>
      <c r="F224" s="3" t="s">
        <v>14</v>
      </c>
      <c r="G224" s="3" t="s">
        <v>1307</v>
      </c>
      <c r="H224" s="3" t="s">
        <v>1307</v>
      </c>
      <c r="I224" s="3"/>
      <c r="J224" s="3" t="s">
        <v>1308</v>
      </c>
      <c r="K224" s="3">
        <v>871549460</v>
      </c>
      <c r="L224" s="3" t="s">
        <v>156</v>
      </c>
    </row>
    <row r="225" spans="1:12" x14ac:dyDescent="0.2">
      <c r="A225" s="1" t="s">
        <v>1309</v>
      </c>
      <c r="B225" s="2" t="str">
        <f>HYPERLINK("https://docket.philalegal.org/cgi-bin/proxy.pl?ct=130603843","130603843")</f>
        <v>130603843</v>
      </c>
      <c r="C225" s="3" t="s">
        <v>1310</v>
      </c>
      <c r="D225" s="3" t="s">
        <v>13</v>
      </c>
      <c r="E225" s="3" t="s">
        <v>35</v>
      </c>
      <c r="F225" s="3" t="s">
        <v>36</v>
      </c>
      <c r="G225" s="3" t="s">
        <v>1311</v>
      </c>
      <c r="H225" s="3" t="s">
        <v>1311</v>
      </c>
      <c r="I225" s="3" t="s">
        <v>1312</v>
      </c>
      <c r="J225" s="3" t="s">
        <v>1313</v>
      </c>
      <c r="K225" s="3">
        <v>365133200</v>
      </c>
      <c r="L225" s="3" t="s">
        <v>1314</v>
      </c>
    </row>
    <row r="226" spans="1:12" x14ac:dyDescent="0.2">
      <c r="A226" s="1" t="s">
        <v>1315</v>
      </c>
      <c r="B226" s="2" t="str">
        <f>HYPERLINK("https://docket.philalegal.org/cgi-bin/proxy.pl?ct=210802452","210802452")</f>
        <v>210802452</v>
      </c>
      <c r="C226" s="3" t="s">
        <v>1316</v>
      </c>
      <c r="D226" s="3" t="s">
        <v>18</v>
      </c>
      <c r="E226" s="3" t="s">
        <v>187</v>
      </c>
      <c r="F226" s="3" t="s">
        <v>210</v>
      </c>
      <c r="G226" s="3" t="s">
        <v>1317</v>
      </c>
      <c r="H226" s="3" t="s">
        <v>1317</v>
      </c>
      <c r="I226" s="3" t="s">
        <v>821</v>
      </c>
      <c r="J226" s="3" t="s">
        <v>1318</v>
      </c>
      <c r="K226" s="3" t="s">
        <v>1319</v>
      </c>
      <c r="L226" s="3" t="s">
        <v>267</v>
      </c>
    </row>
    <row r="227" spans="1:12" x14ac:dyDescent="0.2">
      <c r="A227" s="1" t="s">
        <v>1320</v>
      </c>
      <c r="B227" s="2" t="str">
        <f>HYPERLINK("https://docket.philalegal.org/cgi-bin/proxy.pl?ct=220102276","220102276")</f>
        <v>220102276</v>
      </c>
      <c r="C227" s="3" t="s">
        <v>372</v>
      </c>
      <c r="D227" s="3" t="s">
        <v>18</v>
      </c>
      <c r="E227" s="3" t="s">
        <v>187</v>
      </c>
      <c r="F227" s="3" t="s">
        <v>1321</v>
      </c>
      <c r="G227" s="3"/>
      <c r="H227" s="3" t="s">
        <v>410</v>
      </c>
      <c r="I227" s="3" t="s">
        <v>411</v>
      </c>
      <c r="J227" s="3" t="s">
        <v>1322</v>
      </c>
      <c r="K227" s="3">
        <v>202168301</v>
      </c>
      <c r="L227" s="3" t="s">
        <v>1323</v>
      </c>
    </row>
    <row r="228" spans="1:12" x14ac:dyDescent="0.2">
      <c r="A228" s="1" t="s">
        <v>1324</v>
      </c>
      <c r="B228" s="2" t="str">
        <f>HYPERLINK("https://docket.philalegal.org/cgi-bin/proxy.pl?ct=200302447","200302447")</f>
        <v>200302447</v>
      </c>
      <c r="C228" s="3" t="s">
        <v>185</v>
      </c>
      <c r="D228" s="3" t="s">
        <v>1325</v>
      </c>
      <c r="E228" s="3" t="s">
        <v>187</v>
      </c>
      <c r="F228" s="3" t="s">
        <v>1326</v>
      </c>
      <c r="G228" s="3" t="s">
        <v>826</v>
      </c>
      <c r="H228" s="3" t="s">
        <v>826</v>
      </c>
      <c r="I228" s="3" t="s">
        <v>1327</v>
      </c>
      <c r="J228" s="3" t="s">
        <v>1328</v>
      </c>
      <c r="K228" s="3">
        <v>241174400</v>
      </c>
      <c r="L228" s="3" t="s">
        <v>1329</v>
      </c>
    </row>
    <row r="229" spans="1:12" x14ac:dyDescent="0.2">
      <c r="A229" s="1" t="s">
        <v>1330</v>
      </c>
      <c r="B229" s="2" t="str">
        <f>HYPERLINK("https://docket.philalegal.org/cgi-bin/proxy.pl?ct=170701397","170701397")</f>
        <v>170701397</v>
      </c>
      <c r="C229" s="3" t="s">
        <v>1331</v>
      </c>
      <c r="D229" s="3" t="s">
        <v>13</v>
      </c>
      <c r="E229" s="3" t="s">
        <v>1332</v>
      </c>
      <c r="F229" s="3" t="s">
        <v>313</v>
      </c>
      <c r="G229" s="3" t="s">
        <v>1333</v>
      </c>
      <c r="H229" s="3" t="s">
        <v>1333</v>
      </c>
      <c r="I229" s="3" t="s">
        <v>44</v>
      </c>
      <c r="J229" s="3" t="s">
        <v>1334</v>
      </c>
      <c r="K229" s="3">
        <v>871538140</v>
      </c>
      <c r="L229" s="3" t="s">
        <v>1335</v>
      </c>
    </row>
    <row r="230" spans="1:12" x14ac:dyDescent="0.2">
      <c r="A230" s="1" t="s">
        <v>1336</v>
      </c>
      <c r="B230" s="2" t="str">
        <f>HYPERLINK("https://docket.philalegal.org/cgi-bin/proxy.pl?ct=221200109","221200109")</f>
        <v>221200109</v>
      </c>
      <c r="C230" s="3" t="s">
        <v>1337</v>
      </c>
      <c r="D230" s="3" t="s">
        <v>216</v>
      </c>
      <c r="E230" s="3" t="s">
        <v>1338</v>
      </c>
      <c r="F230" s="3" t="s">
        <v>36</v>
      </c>
      <c r="G230" s="3" t="s">
        <v>3880</v>
      </c>
      <c r="H230" s="3" t="s">
        <v>1339</v>
      </c>
      <c r="I230" s="3"/>
      <c r="J230" s="3" t="s">
        <v>1340</v>
      </c>
      <c r="K230" s="3">
        <v>604190100</v>
      </c>
      <c r="L230" s="3" t="s">
        <v>1341</v>
      </c>
    </row>
    <row r="231" spans="1:12" x14ac:dyDescent="0.2">
      <c r="A231" s="1" t="s">
        <v>1342</v>
      </c>
      <c r="B231" s="2" t="str">
        <f>HYPERLINK("https://docket.philalegal.org/cgi-bin/proxy.pl?ct=180700624","180700624")</f>
        <v>180700624</v>
      </c>
      <c r="C231" s="3" t="s">
        <v>1343</v>
      </c>
      <c r="D231" s="3" t="s">
        <v>13</v>
      </c>
      <c r="E231" s="3" t="s">
        <v>35</v>
      </c>
      <c r="F231" s="3" t="s">
        <v>313</v>
      </c>
      <c r="G231" s="3" t="s">
        <v>3881</v>
      </c>
      <c r="H231" s="3" t="s">
        <v>1344</v>
      </c>
      <c r="I231" s="3"/>
      <c r="J231" s="3" t="s">
        <v>1345</v>
      </c>
      <c r="K231" s="3">
        <v>133147200</v>
      </c>
      <c r="L231" s="3" t="s">
        <v>1346</v>
      </c>
    </row>
    <row r="232" spans="1:12" x14ac:dyDescent="0.2">
      <c r="A232" s="1" t="s">
        <v>1347</v>
      </c>
      <c r="B232" s="2" t="str">
        <f>HYPERLINK("https://docket.philalegal.org/cgi-bin/proxy.pl?ct=170403586","170403586")</f>
        <v>170403586</v>
      </c>
      <c r="C232" s="3" t="s">
        <v>1348</v>
      </c>
      <c r="D232" s="3" t="s">
        <v>18</v>
      </c>
      <c r="E232" s="3" t="s">
        <v>1349</v>
      </c>
      <c r="F232" s="3" t="s">
        <v>561</v>
      </c>
      <c r="G232" s="3"/>
      <c r="H232" s="3" t="s">
        <v>1350</v>
      </c>
      <c r="I232" s="3" t="s">
        <v>1351</v>
      </c>
      <c r="J232" s="3" t="s">
        <v>1352</v>
      </c>
      <c r="K232" s="3">
        <v>882917151</v>
      </c>
      <c r="L232" s="3" t="s">
        <v>1353</v>
      </c>
    </row>
    <row r="233" spans="1:12" x14ac:dyDescent="0.2">
      <c r="A233" s="1" t="s">
        <v>1354</v>
      </c>
      <c r="B233" s="2" t="str">
        <f>HYPERLINK("https://docket.philalegal.org/cgi-bin/proxy.pl?ct=151201813","151201813")</f>
        <v>151201813</v>
      </c>
      <c r="C233" s="3" t="s">
        <v>1355</v>
      </c>
      <c r="D233" s="3" t="s">
        <v>13</v>
      </c>
      <c r="E233" s="3" t="s">
        <v>35</v>
      </c>
      <c r="F233" s="3" t="s">
        <v>173</v>
      </c>
      <c r="G233" s="3"/>
      <c r="H233" s="3" t="s">
        <v>1356</v>
      </c>
      <c r="I233" s="3" t="s">
        <v>1357</v>
      </c>
      <c r="J233" s="3" t="s">
        <v>1358</v>
      </c>
      <c r="K233" s="3">
        <v>234159700</v>
      </c>
      <c r="L233" s="3" t="s">
        <v>1359</v>
      </c>
    </row>
    <row r="234" spans="1:12" x14ac:dyDescent="0.2">
      <c r="A234" s="1" t="s">
        <v>1360</v>
      </c>
      <c r="B234" s="2" t="str">
        <f>HYPERLINK("https://docket.philalegal.org/cgi-bin/proxy.pl?ct=230402303","230402303")</f>
        <v>230402303</v>
      </c>
      <c r="C234" s="3" t="s">
        <v>1361</v>
      </c>
      <c r="D234" s="3" t="s">
        <v>208</v>
      </c>
      <c r="E234" s="3" t="s">
        <v>194</v>
      </c>
      <c r="F234" s="3" t="s">
        <v>259</v>
      </c>
      <c r="G234" s="3" t="s">
        <v>3661</v>
      </c>
      <c r="H234" s="3" t="s">
        <v>1362</v>
      </c>
      <c r="I234" s="3"/>
      <c r="J234" s="3" t="s">
        <v>1363</v>
      </c>
      <c r="K234" s="3">
        <v>521125700</v>
      </c>
      <c r="L234" s="3" t="s">
        <v>1364</v>
      </c>
    </row>
    <row r="235" spans="1:12" x14ac:dyDescent="0.2">
      <c r="A235" s="1" t="s">
        <v>1365</v>
      </c>
      <c r="B235" s="2" t="str">
        <f>HYPERLINK("https://docket.philalegal.org/cgi-bin/proxy.pl?ct=150500892","150500892")</f>
        <v>150500892</v>
      </c>
      <c r="C235" s="3" t="s">
        <v>1366</v>
      </c>
      <c r="D235" s="3" t="s">
        <v>13</v>
      </c>
      <c r="E235" s="3" t="s">
        <v>35</v>
      </c>
      <c r="F235" s="3" t="s">
        <v>36</v>
      </c>
      <c r="G235" s="3" t="s">
        <v>3662</v>
      </c>
      <c r="H235" s="3" t="s">
        <v>1367</v>
      </c>
      <c r="I235" s="3"/>
      <c r="J235" s="3" t="s">
        <v>1368</v>
      </c>
      <c r="K235" s="3">
        <v>251323000</v>
      </c>
      <c r="L235" s="3" t="s">
        <v>1369</v>
      </c>
    </row>
    <row r="236" spans="1:12" x14ac:dyDescent="0.2">
      <c r="A236" s="1" t="s">
        <v>1370</v>
      </c>
      <c r="B236" s="2" t="str">
        <f>HYPERLINK("https://docket.philalegal.org/cgi-bin/proxy.pl?ct=210101889","210101889")</f>
        <v>210101889</v>
      </c>
      <c r="C236" s="3" t="s">
        <v>293</v>
      </c>
      <c r="D236" s="3" t="s">
        <v>13</v>
      </c>
      <c r="E236" s="3" t="s">
        <v>187</v>
      </c>
      <c r="F236" s="3" t="s">
        <v>497</v>
      </c>
      <c r="G236" s="3"/>
      <c r="H236" s="3" t="s">
        <v>1371</v>
      </c>
      <c r="I236" s="3" t="s">
        <v>1372</v>
      </c>
      <c r="J236" s="3" t="s">
        <v>1373</v>
      </c>
      <c r="K236" s="3">
        <v>363025600</v>
      </c>
      <c r="L236" s="3" t="s">
        <v>1374</v>
      </c>
    </row>
    <row r="237" spans="1:12" x14ac:dyDescent="0.2">
      <c r="A237" s="1" t="s">
        <v>1375</v>
      </c>
      <c r="B237" s="2" t="str">
        <f>HYPERLINK("https://docket.philalegal.org/cgi-bin/proxy.pl?ct=181200303","181200303")</f>
        <v>181200303</v>
      </c>
      <c r="C237" s="3" t="s">
        <v>185</v>
      </c>
      <c r="D237" s="3" t="s">
        <v>18</v>
      </c>
      <c r="E237" s="3" t="s">
        <v>187</v>
      </c>
      <c r="F237" s="3" t="s">
        <v>210</v>
      </c>
      <c r="G237" s="3" t="s">
        <v>3663</v>
      </c>
      <c r="H237" s="3" t="s">
        <v>1376</v>
      </c>
      <c r="I237" s="3"/>
      <c r="J237" s="3" t="s">
        <v>1377</v>
      </c>
      <c r="K237" s="3">
        <v>884346530</v>
      </c>
      <c r="L237" s="3" t="s">
        <v>1378</v>
      </c>
    </row>
    <row r="238" spans="1:12" x14ac:dyDescent="0.2">
      <c r="A238" s="1" t="s">
        <v>1379</v>
      </c>
      <c r="B238" s="2" t="str">
        <f>HYPERLINK("https://docket.philalegal.org/cgi-bin/proxy.pl?ct=210600532","210600532")</f>
        <v>210600532</v>
      </c>
      <c r="C238" s="3" t="s">
        <v>185</v>
      </c>
      <c r="D238" s="3" t="s">
        <v>18</v>
      </c>
      <c r="E238" s="3" t="s">
        <v>187</v>
      </c>
      <c r="F238" s="3" t="s">
        <v>1057</v>
      </c>
      <c r="G238" s="3"/>
      <c r="H238" s="3" t="s">
        <v>1380</v>
      </c>
      <c r="I238" s="3"/>
      <c r="J238" s="3" t="s">
        <v>1381</v>
      </c>
      <c r="K238" s="3">
        <v>364204200</v>
      </c>
      <c r="L238" s="3" t="s">
        <v>267</v>
      </c>
    </row>
    <row r="239" spans="1:12" x14ac:dyDescent="0.2">
      <c r="A239" s="1" t="s">
        <v>1382</v>
      </c>
      <c r="B239" s="2" t="str">
        <f>HYPERLINK("https://docket.philalegal.org/cgi-bin/proxy.pl?ct=140902174","140902174")</f>
        <v>140902174</v>
      </c>
      <c r="C239" s="3" t="s">
        <v>1383</v>
      </c>
      <c r="D239" s="3" t="s">
        <v>88</v>
      </c>
      <c r="E239" s="3" t="s">
        <v>35</v>
      </c>
      <c r="F239" s="3" t="s">
        <v>36</v>
      </c>
      <c r="G239" s="3" t="s">
        <v>693</v>
      </c>
      <c r="H239" s="3" t="s">
        <v>693</v>
      </c>
      <c r="I239" s="3" t="s">
        <v>1222</v>
      </c>
      <c r="J239" s="3" t="s">
        <v>695</v>
      </c>
      <c r="K239" s="3" t="s">
        <v>696</v>
      </c>
      <c r="L239" s="3" t="s">
        <v>1384</v>
      </c>
    </row>
    <row r="240" spans="1:12" x14ac:dyDescent="0.2">
      <c r="A240" s="1" t="s">
        <v>1385</v>
      </c>
      <c r="B240" s="2" t="str">
        <f>HYPERLINK("https://docket.philalegal.org/cgi-bin/proxy.pl?ct=210401494","210401494")</f>
        <v>210401494</v>
      </c>
      <c r="C240" s="3" t="s">
        <v>185</v>
      </c>
      <c r="D240" s="3" t="s">
        <v>18</v>
      </c>
      <c r="E240" s="3" t="s">
        <v>187</v>
      </c>
      <c r="F240" s="3" t="s">
        <v>497</v>
      </c>
      <c r="G240" s="3"/>
      <c r="H240" s="3" t="s">
        <v>1386</v>
      </c>
      <c r="I240" s="3"/>
      <c r="J240" s="3" t="s">
        <v>1387</v>
      </c>
      <c r="K240" s="3">
        <v>324088400</v>
      </c>
      <c r="L240" s="3" t="s">
        <v>267</v>
      </c>
    </row>
    <row r="241" spans="1:12" x14ac:dyDescent="0.2">
      <c r="A241" s="1" t="s">
        <v>1388</v>
      </c>
      <c r="B241" s="2" t="str">
        <f>HYPERLINK("https://docket.philalegal.org/cgi-bin/proxy.pl?ct=230602341","230602341")</f>
        <v>230602341</v>
      </c>
      <c r="C241" s="3" t="s">
        <v>1389</v>
      </c>
      <c r="D241" s="3" t="s">
        <v>208</v>
      </c>
      <c r="E241" s="3" t="s">
        <v>194</v>
      </c>
      <c r="F241" s="3" t="s">
        <v>259</v>
      </c>
      <c r="G241" s="3" t="s">
        <v>3664</v>
      </c>
      <c r="H241" s="3" t="s">
        <v>1390</v>
      </c>
      <c r="I241" s="3"/>
      <c r="J241" s="3" t="s">
        <v>1391</v>
      </c>
      <c r="K241" s="3">
        <v>133032900</v>
      </c>
      <c r="L241" s="3" t="s">
        <v>1392</v>
      </c>
    </row>
    <row r="242" spans="1:12" x14ac:dyDescent="0.2">
      <c r="A242" s="1" t="s">
        <v>1393</v>
      </c>
      <c r="B242" s="2" t="str">
        <f>HYPERLINK("https://docket.philalegal.org/cgi-bin/proxy.pl?ct=221102754","221102754")</f>
        <v>221102754</v>
      </c>
      <c r="C242" s="3" t="s">
        <v>1394</v>
      </c>
      <c r="D242" s="3" t="s">
        <v>18</v>
      </c>
      <c r="E242" s="3" t="s">
        <v>194</v>
      </c>
      <c r="F242" s="3" t="s">
        <v>259</v>
      </c>
      <c r="G242" s="3" t="s">
        <v>1395</v>
      </c>
      <c r="H242" s="3" t="s">
        <v>1395</v>
      </c>
      <c r="I242" s="3" t="s">
        <v>1396</v>
      </c>
      <c r="J242" s="3" t="s">
        <v>1397</v>
      </c>
      <c r="K242" s="3">
        <v>482218900</v>
      </c>
      <c r="L242" s="3" t="s">
        <v>1398</v>
      </c>
    </row>
    <row r="243" spans="1:12" x14ac:dyDescent="0.2">
      <c r="A243" s="1" t="s">
        <v>1399</v>
      </c>
      <c r="B243" s="2" t="str">
        <f>HYPERLINK("https://docket.philalegal.org/cgi-bin/proxy.pl?ct=230900187","230900187")</f>
        <v>230900187</v>
      </c>
      <c r="C243" s="3" t="s">
        <v>1400</v>
      </c>
      <c r="D243" s="3" t="s">
        <v>208</v>
      </c>
      <c r="E243" s="3" t="s">
        <v>35</v>
      </c>
      <c r="F243" s="3" t="s">
        <v>36</v>
      </c>
      <c r="G243" s="3" t="s">
        <v>3882</v>
      </c>
      <c r="H243" s="3" t="s">
        <v>1401</v>
      </c>
      <c r="I243" s="3"/>
      <c r="J243" s="3" t="s">
        <v>1402</v>
      </c>
      <c r="K243" s="3">
        <v>871095900</v>
      </c>
      <c r="L243" s="3" t="s">
        <v>1403</v>
      </c>
    </row>
    <row r="244" spans="1:12" x14ac:dyDescent="0.2">
      <c r="A244" s="1" t="s">
        <v>1404</v>
      </c>
      <c r="B244" s="2" t="str">
        <f>HYPERLINK("https://docket.philalegal.org/cgi-bin/proxy.pl?ct=170602573","170602573")</f>
        <v>170602573</v>
      </c>
      <c r="C244" s="3" t="s">
        <v>1405</v>
      </c>
      <c r="D244" s="3" t="s">
        <v>88</v>
      </c>
      <c r="E244" s="3" t="s">
        <v>1406</v>
      </c>
      <c r="F244" s="3" t="s">
        <v>1407</v>
      </c>
      <c r="G244" s="3"/>
      <c r="H244" s="3" t="s">
        <v>1408</v>
      </c>
      <c r="I244" s="3" t="s">
        <v>1409</v>
      </c>
      <c r="J244" s="3" t="s">
        <v>1410</v>
      </c>
      <c r="K244" s="3">
        <v>883704300</v>
      </c>
      <c r="L244" s="3" t="s">
        <v>1411</v>
      </c>
    </row>
    <row r="245" spans="1:12" x14ac:dyDescent="0.2">
      <c r="A245" s="1" t="s">
        <v>1412</v>
      </c>
      <c r="B245" s="2" t="str">
        <f>HYPERLINK("https://docket.philalegal.org/cgi-bin/proxy.pl?ct=170204204","170204204")</f>
        <v>170204204</v>
      </c>
      <c r="C245" s="3" t="s">
        <v>1413</v>
      </c>
      <c r="D245" s="3" t="s">
        <v>18</v>
      </c>
      <c r="E245" s="3" t="s">
        <v>1414</v>
      </c>
      <c r="F245" s="3" t="s">
        <v>395</v>
      </c>
      <c r="G245" s="3" t="s">
        <v>3665</v>
      </c>
      <c r="H245" s="3" t="s">
        <v>1415</v>
      </c>
      <c r="I245" s="3" t="s">
        <v>1416</v>
      </c>
      <c r="J245" s="3" t="s">
        <v>1417</v>
      </c>
      <c r="K245" s="3">
        <v>511123800</v>
      </c>
      <c r="L245" s="3" t="s">
        <v>1418</v>
      </c>
    </row>
    <row r="246" spans="1:12" x14ac:dyDescent="0.2">
      <c r="A246" s="1" t="s">
        <v>1419</v>
      </c>
      <c r="B246" s="2" t="str">
        <f>HYPERLINK("https://docket.philalegal.org/cgi-bin/proxy.pl?ct=220200370","220200370")</f>
        <v>220200370</v>
      </c>
      <c r="C246" s="3" t="s">
        <v>185</v>
      </c>
      <c r="D246" s="3" t="s">
        <v>18</v>
      </c>
      <c r="E246" s="3" t="s">
        <v>187</v>
      </c>
      <c r="F246" s="3" t="s">
        <v>1321</v>
      </c>
      <c r="G246" s="3"/>
      <c r="H246" s="3" t="s">
        <v>1420</v>
      </c>
      <c r="I246" s="3"/>
      <c r="J246" s="3" t="s">
        <v>1421</v>
      </c>
      <c r="K246" s="3">
        <v>323102800</v>
      </c>
      <c r="L246" s="3" t="s">
        <v>1422</v>
      </c>
    </row>
    <row r="247" spans="1:12" x14ac:dyDescent="0.2">
      <c r="A247" s="1" t="s">
        <v>1423</v>
      </c>
      <c r="B247" s="2" t="str">
        <f>HYPERLINK("https://docket.philalegal.org/cgi-bin/proxy.pl?ct=231100340","231100340")</f>
        <v>231100340</v>
      </c>
      <c r="C247" s="3" t="s">
        <v>1424</v>
      </c>
      <c r="D247" s="3" t="s">
        <v>208</v>
      </c>
      <c r="E247" s="3" t="s">
        <v>1425</v>
      </c>
      <c r="F247" s="3" t="s">
        <v>1426</v>
      </c>
      <c r="G247" s="3"/>
      <c r="H247" s="3" t="s">
        <v>1427</v>
      </c>
      <c r="I247" s="3"/>
      <c r="J247" s="3" t="s">
        <v>1428</v>
      </c>
      <c r="K247" s="3">
        <v>344179600</v>
      </c>
      <c r="L247" s="3" t="s">
        <v>1429</v>
      </c>
    </row>
    <row r="248" spans="1:12" x14ac:dyDescent="0.2">
      <c r="A248" s="1" t="s">
        <v>1430</v>
      </c>
      <c r="B248" s="2" t="str">
        <f>HYPERLINK("https://docket.philalegal.org/cgi-bin/proxy.pl?ct=171101374","171101374")</f>
        <v>171101374</v>
      </c>
      <c r="C248" s="3" t="s">
        <v>1431</v>
      </c>
      <c r="D248" s="3" t="s">
        <v>18</v>
      </c>
      <c r="E248" s="3" t="s">
        <v>230</v>
      </c>
      <c r="F248" s="3" t="s">
        <v>173</v>
      </c>
      <c r="G248" s="3"/>
      <c r="H248" s="3" t="s">
        <v>1432</v>
      </c>
      <c r="I248" s="3" t="s">
        <v>1433</v>
      </c>
      <c r="J248" s="3" t="s">
        <v>1434</v>
      </c>
      <c r="K248" s="3">
        <v>363038800</v>
      </c>
      <c r="L248" s="3" t="s">
        <v>1435</v>
      </c>
    </row>
    <row r="249" spans="1:12" x14ac:dyDescent="0.2">
      <c r="A249" s="1" t="s">
        <v>1436</v>
      </c>
      <c r="B249" s="2" t="str">
        <f>HYPERLINK("https://docket.philalegal.org/cgi-bin/proxy.pl?ct=140700560","140700560")</f>
        <v>140700560</v>
      </c>
      <c r="C249" s="3" t="s">
        <v>1437</v>
      </c>
      <c r="D249" s="3" t="s">
        <v>18</v>
      </c>
      <c r="E249" s="3" t="s">
        <v>1438</v>
      </c>
      <c r="F249" s="3" t="s">
        <v>36</v>
      </c>
      <c r="G249" s="3"/>
      <c r="H249" s="3" t="s">
        <v>1439</v>
      </c>
      <c r="I249" s="3" t="s">
        <v>1440</v>
      </c>
      <c r="J249" s="3" t="s">
        <v>1441</v>
      </c>
      <c r="K249" s="3">
        <v>182202300</v>
      </c>
      <c r="L249" s="3" t="s">
        <v>1442</v>
      </c>
    </row>
    <row r="250" spans="1:12" x14ac:dyDescent="0.2">
      <c r="A250" s="1" t="s">
        <v>1443</v>
      </c>
      <c r="B250" s="2" t="str">
        <f>HYPERLINK("https://docket.philalegal.org/cgi-bin/proxy.pl?ct=180701972","180701972")</f>
        <v>180701972</v>
      </c>
      <c r="C250" s="3" t="s">
        <v>704</v>
      </c>
      <c r="D250" s="3" t="s">
        <v>18</v>
      </c>
      <c r="E250" s="3" t="s">
        <v>187</v>
      </c>
      <c r="F250" s="3" t="s">
        <v>813</v>
      </c>
      <c r="G250" s="3"/>
      <c r="H250" s="3" t="s">
        <v>1444</v>
      </c>
      <c r="I250" s="3" t="s">
        <v>1433</v>
      </c>
      <c r="J250" s="3" t="s">
        <v>1445</v>
      </c>
      <c r="K250" s="3">
        <v>593079100</v>
      </c>
      <c r="L250" s="3" t="s">
        <v>267</v>
      </c>
    </row>
    <row r="251" spans="1:12" x14ac:dyDescent="0.2">
      <c r="A251" s="1" t="s">
        <v>1446</v>
      </c>
      <c r="B251" s="2" t="str">
        <f>HYPERLINK("https://docket.philalegal.org/cgi-bin/proxy.pl?ct=180802722","180802722")</f>
        <v>180802722</v>
      </c>
      <c r="C251" s="3" t="s">
        <v>1447</v>
      </c>
      <c r="D251" s="3" t="s">
        <v>13</v>
      </c>
      <c r="E251" s="3" t="s">
        <v>1448</v>
      </c>
      <c r="F251" s="3" t="s">
        <v>313</v>
      </c>
      <c r="G251" s="3" t="s">
        <v>1449</v>
      </c>
      <c r="H251" s="3" t="s">
        <v>1449</v>
      </c>
      <c r="I251" s="3" t="s">
        <v>1450</v>
      </c>
      <c r="J251" s="3" t="s">
        <v>1451</v>
      </c>
      <c r="K251" s="3">
        <v>302150300</v>
      </c>
      <c r="L251" s="3" t="s">
        <v>1452</v>
      </c>
    </row>
    <row r="252" spans="1:12" x14ac:dyDescent="0.2">
      <c r="A252" s="1" t="s">
        <v>1453</v>
      </c>
      <c r="B252" s="2" t="str">
        <f>HYPERLINK("https://docket.philalegal.org/cgi-bin/proxy.pl?ct=231102427","231102427")</f>
        <v>231102427</v>
      </c>
      <c r="C252" s="3" t="s">
        <v>185</v>
      </c>
      <c r="D252" s="3" t="s">
        <v>208</v>
      </c>
      <c r="E252" s="3" t="s">
        <v>187</v>
      </c>
      <c r="F252" s="3" t="s">
        <v>210</v>
      </c>
      <c r="G252" s="3"/>
      <c r="H252" s="3" t="s">
        <v>434</v>
      </c>
      <c r="I252" s="3"/>
      <c r="J252" s="3" t="s">
        <v>1454</v>
      </c>
      <c r="K252" s="3">
        <v>162018501</v>
      </c>
      <c r="L252" s="3" t="s">
        <v>1455</v>
      </c>
    </row>
    <row r="253" spans="1:12" x14ac:dyDescent="0.2">
      <c r="A253" s="1" t="s">
        <v>1456</v>
      </c>
      <c r="B253" s="2" t="str">
        <f>HYPERLINK("https://docket.philalegal.org/cgi-bin/proxy.pl?ct=160501673","160501673")</f>
        <v>160501673</v>
      </c>
      <c r="C253" s="3" t="s">
        <v>1457</v>
      </c>
      <c r="D253" s="3" t="s">
        <v>18</v>
      </c>
      <c r="E253" s="3" t="s">
        <v>305</v>
      </c>
      <c r="F253" s="3" t="s">
        <v>20</v>
      </c>
      <c r="G253" s="3" t="s">
        <v>3883</v>
      </c>
      <c r="H253" s="3" t="s">
        <v>1458</v>
      </c>
      <c r="I253" s="3"/>
      <c r="J253" s="3" t="s">
        <v>1459</v>
      </c>
      <c r="K253" s="3">
        <v>364013900</v>
      </c>
      <c r="L253" s="3" t="s">
        <v>489</v>
      </c>
    </row>
    <row r="254" spans="1:12" x14ac:dyDescent="0.2">
      <c r="A254" s="1" t="s">
        <v>1460</v>
      </c>
      <c r="B254" s="2" t="str">
        <f>HYPERLINK("https://docket.philalegal.org/cgi-bin/proxy.pl?ct=220800455","220800455")</f>
        <v>220800455</v>
      </c>
      <c r="C254" s="3" t="s">
        <v>951</v>
      </c>
      <c r="D254" s="3" t="s">
        <v>216</v>
      </c>
      <c r="E254" s="3" t="s">
        <v>35</v>
      </c>
      <c r="F254" s="3" t="s">
        <v>36</v>
      </c>
      <c r="G254" s="3" t="s">
        <v>1461</v>
      </c>
      <c r="H254" s="3" t="s">
        <v>1461</v>
      </c>
      <c r="I254" s="3"/>
      <c r="J254" s="3" t="s">
        <v>1462</v>
      </c>
      <c r="K254" s="3">
        <v>394486200</v>
      </c>
      <c r="L254" s="3" t="s">
        <v>1463</v>
      </c>
    </row>
    <row r="255" spans="1:12" x14ac:dyDescent="0.2">
      <c r="A255" s="1" t="s">
        <v>1464</v>
      </c>
      <c r="B255" s="2" t="str">
        <f>HYPERLINK("https://docket.philalegal.org/cgi-bin/proxy.pl?ct=171204055","171204055")</f>
        <v>171204055</v>
      </c>
      <c r="C255" s="3" t="s">
        <v>293</v>
      </c>
      <c r="D255" s="3" t="s">
        <v>13</v>
      </c>
      <c r="E255" s="3" t="s">
        <v>187</v>
      </c>
      <c r="F255" s="3" t="s">
        <v>210</v>
      </c>
      <c r="G255" s="3" t="s">
        <v>1465</v>
      </c>
      <c r="H255" s="3" t="s">
        <v>1465</v>
      </c>
      <c r="I255" s="3"/>
      <c r="J255" s="3" t="s">
        <v>1466</v>
      </c>
      <c r="K255" s="3">
        <v>871168500</v>
      </c>
      <c r="L255" s="3" t="s">
        <v>1467</v>
      </c>
    </row>
    <row r="256" spans="1:12" x14ac:dyDescent="0.2">
      <c r="A256" s="1" t="s">
        <v>1468</v>
      </c>
      <c r="B256" s="2" t="str">
        <f>HYPERLINK("https://docket.philalegal.org/cgi-bin/proxy.pl?ct=160402489","160402489")</f>
        <v>160402489</v>
      </c>
      <c r="C256" s="3" t="s">
        <v>1469</v>
      </c>
      <c r="D256" s="3" t="s">
        <v>13</v>
      </c>
      <c r="E256" s="3" t="s">
        <v>1470</v>
      </c>
      <c r="F256" s="3" t="s">
        <v>20</v>
      </c>
      <c r="G256" s="3" t="s">
        <v>3666</v>
      </c>
      <c r="H256" s="3" t="s">
        <v>1471</v>
      </c>
      <c r="I256" s="3"/>
      <c r="J256" s="3" t="s">
        <v>1472</v>
      </c>
      <c r="K256" s="3">
        <v>361117800</v>
      </c>
      <c r="L256" s="3" t="s">
        <v>1473</v>
      </c>
    </row>
    <row r="257" spans="1:12" x14ac:dyDescent="0.2">
      <c r="A257" s="1" t="s">
        <v>1474</v>
      </c>
      <c r="B257" s="2" t="str">
        <f>HYPERLINK("https://docket.philalegal.org/cgi-bin/proxy.pl?ct=180703171","180703171")</f>
        <v>180703171</v>
      </c>
      <c r="C257" s="3" t="s">
        <v>1475</v>
      </c>
      <c r="D257" s="3" t="s">
        <v>18</v>
      </c>
      <c r="E257" s="3" t="s">
        <v>230</v>
      </c>
      <c r="F257" s="3" t="s">
        <v>173</v>
      </c>
      <c r="G257" s="3" t="s">
        <v>1476</v>
      </c>
      <c r="H257" s="3" t="s">
        <v>1476</v>
      </c>
      <c r="I257" s="3"/>
      <c r="J257" s="3" t="s">
        <v>1477</v>
      </c>
      <c r="K257" s="3">
        <v>481004100</v>
      </c>
      <c r="L257" s="3" t="s">
        <v>1478</v>
      </c>
    </row>
    <row r="258" spans="1:12" x14ac:dyDescent="0.2">
      <c r="A258" s="1" t="s">
        <v>1479</v>
      </c>
      <c r="B258" s="2" t="str">
        <f>HYPERLINK("https://docket.philalegal.org/cgi-bin/proxy.pl?ct=210901439","210901439")</f>
        <v>210901439</v>
      </c>
      <c r="C258" s="3" t="s">
        <v>1480</v>
      </c>
      <c r="D258" s="3" t="s">
        <v>13</v>
      </c>
      <c r="E258" s="3" t="s">
        <v>1481</v>
      </c>
      <c r="F258" s="3" t="s">
        <v>36</v>
      </c>
      <c r="G258" s="3" t="s">
        <v>3667</v>
      </c>
      <c r="H258" s="3" t="s">
        <v>1482</v>
      </c>
      <c r="I258" s="3"/>
      <c r="J258" s="3" t="s">
        <v>1483</v>
      </c>
      <c r="K258" s="3">
        <v>324177700</v>
      </c>
      <c r="L258" s="3" t="s">
        <v>1484</v>
      </c>
    </row>
    <row r="259" spans="1:12" x14ac:dyDescent="0.2">
      <c r="A259" s="1" t="s">
        <v>1485</v>
      </c>
      <c r="B259" s="2" t="str">
        <f>HYPERLINK("https://docket.philalegal.org/cgi-bin/proxy.pl?ct=231202644","231202644")</f>
        <v>231202644</v>
      </c>
      <c r="C259" s="3" t="s">
        <v>1486</v>
      </c>
      <c r="D259" s="3" t="s">
        <v>208</v>
      </c>
      <c r="E259" s="3" t="s">
        <v>194</v>
      </c>
      <c r="F259" s="3" t="s">
        <v>1487</v>
      </c>
      <c r="G259" s="3" t="s">
        <v>3668</v>
      </c>
      <c r="H259" s="3" t="s">
        <v>1488</v>
      </c>
      <c r="I259" s="3"/>
      <c r="J259" s="3" t="s">
        <v>1489</v>
      </c>
      <c r="K259" s="3">
        <v>602160500</v>
      </c>
      <c r="L259" s="3" t="s">
        <v>1490</v>
      </c>
    </row>
    <row r="260" spans="1:12" x14ac:dyDescent="0.2">
      <c r="A260" s="1" t="s">
        <v>1491</v>
      </c>
      <c r="B260" s="2" t="str">
        <f>HYPERLINK("https://docket.philalegal.org/cgi-bin/proxy.pl?ct=140701253","140701253")</f>
        <v>140701253</v>
      </c>
      <c r="C260" s="3" t="s">
        <v>1492</v>
      </c>
      <c r="D260" s="3" t="s">
        <v>13</v>
      </c>
      <c r="E260" s="3" t="s">
        <v>885</v>
      </c>
      <c r="F260" s="3" t="s">
        <v>259</v>
      </c>
      <c r="G260" s="3" t="s">
        <v>3669</v>
      </c>
      <c r="H260" s="3" t="s">
        <v>1493</v>
      </c>
      <c r="I260" s="3" t="s">
        <v>1494</v>
      </c>
      <c r="J260" s="3" t="s">
        <v>1495</v>
      </c>
      <c r="K260" s="3">
        <v>291285100</v>
      </c>
      <c r="L260" s="3" t="s">
        <v>1496</v>
      </c>
    </row>
    <row r="261" spans="1:12" x14ac:dyDescent="0.2">
      <c r="A261" s="1" t="s">
        <v>1497</v>
      </c>
      <c r="B261" s="2" t="str">
        <f>HYPERLINK("https://docket.philalegal.org/cgi-bin/proxy.pl?ct=161101851","161101851")</f>
        <v>161101851</v>
      </c>
      <c r="C261" s="3" t="s">
        <v>1498</v>
      </c>
      <c r="D261" s="3" t="s">
        <v>13</v>
      </c>
      <c r="E261" s="3" t="s">
        <v>305</v>
      </c>
      <c r="F261" s="3" t="s">
        <v>210</v>
      </c>
      <c r="G261" s="3" t="s">
        <v>3670</v>
      </c>
      <c r="H261" s="3" t="s">
        <v>1499</v>
      </c>
      <c r="I261" s="3"/>
      <c r="J261" s="3" t="s">
        <v>1500</v>
      </c>
      <c r="K261" s="3">
        <v>471080900</v>
      </c>
      <c r="L261" s="3" t="s">
        <v>1501</v>
      </c>
    </row>
    <row r="262" spans="1:12" x14ac:dyDescent="0.2">
      <c r="A262" s="1" t="s">
        <v>1502</v>
      </c>
      <c r="B262" s="2" t="str">
        <f>HYPERLINK("https://docket.philalegal.org/cgi-bin/proxy.pl?ct=141203548","141203548")</f>
        <v>141203548</v>
      </c>
      <c r="C262" s="3" t="s">
        <v>1503</v>
      </c>
      <c r="D262" s="3" t="s">
        <v>166</v>
      </c>
      <c r="E262" s="3" t="s">
        <v>1504</v>
      </c>
      <c r="F262" s="3" t="s">
        <v>36</v>
      </c>
      <c r="G262" s="3"/>
      <c r="H262" s="3" t="s">
        <v>1505</v>
      </c>
      <c r="I262" s="3" t="s">
        <v>1506</v>
      </c>
      <c r="J262" s="3" t="s">
        <v>1507</v>
      </c>
      <c r="K262" s="3">
        <v>404355700</v>
      </c>
      <c r="L262" s="3" t="s">
        <v>1508</v>
      </c>
    </row>
    <row r="263" spans="1:12" x14ac:dyDescent="0.2">
      <c r="A263" s="1" t="s">
        <v>1509</v>
      </c>
      <c r="B263" s="2" t="str">
        <f>HYPERLINK("https://docket.philalegal.org/cgi-bin/proxy.pl?ct=131100187","131100187")</f>
        <v>131100187</v>
      </c>
      <c r="C263" s="3" t="s">
        <v>1510</v>
      </c>
      <c r="D263" s="3" t="s">
        <v>88</v>
      </c>
      <c r="E263" s="3" t="s">
        <v>35</v>
      </c>
      <c r="F263" s="3" t="s">
        <v>36</v>
      </c>
      <c r="G263" s="3" t="s">
        <v>1511</v>
      </c>
      <c r="H263" s="3" t="s">
        <v>1511</v>
      </c>
      <c r="I263" s="3" t="s">
        <v>282</v>
      </c>
      <c r="J263" s="3" t="s">
        <v>1512</v>
      </c>
      <c r="K263" s="3">
        <v>481246200</v>
      </c>
      <c r="L263" s="3" t="s">
        <v>1513</v>
      </c>
    </row>
    <row r="264" spans="1:12" x14ac:dyDescent="0.2">
      <c r="A264" s="1" t="s">
        <v>1514</v>
      </c>
      <c r="B264" s="2" t="str">
        <f>HYPERLINK("https://docket.philalegal.org/cgi-bin/proxy.pl?ct=210202087","210202087")</f>
        <v>210202087</v>
      </c>
      <c r="C264" s="3" t="s">
        <v>1515</v>
      </c>
      <c r="D264" s="3" t="s">
        <v>13</v>
      </c>
      <c r="E264" s="3" t="s">
        <v>1516</v>
      </c>
      <c r="F264" s="3" t="s">
        <v>1517</v>
      </c>
      <c r="G264" s="3" t="s">
        <v>3900</v>
      </c>
      <c r="H264" s="3" t="s">
        <v>1518</v>
      </c>
      <c r="I264" s="3"/>
      <c r="J264" s="3" t="s">
        <v>1519</v>
      </c>
      <c r="K264" s="3">
        <v>412432300</v>
      </c>
      <c r="L264" s="3" t="s">
        <v>1520</v>
      </c>
    </row>
    <row r="265" spans="1:12" x14ac:dyDescent="0.2">
      <c r="A265" s="1" t="s">
        <v>1521</v>
      </c>
      <c r="B265" s="2" t="str">
        <f>HYPERLINK("https://docket.philalegal.org/cgi-bin/proxy.pl?ct=190900051","190900051")</f>
        <v>190900051</v>
      </c>
      <c r="C265" s="3" t="s">
        <v>1522</v>
      </c>
      <c r="D265" s="3" t="s">
        <v>13</v>
      </c>
      <c r="E265" s="3" t="s">
        <v>1523</v>
      </c>
      <c r="F265" s="3" t="s">
        <v>36</v>
      </c>
      <c r="G265" s="3" t="s">
        <v>3671</v>
      </c>
      <c r="H265" s="3" t="s">
        <v>1524</v>
      </c>
      <c r="I265" s="3" t="s">
        <v>1525</v>
      </c>
      <c r="J265" s="3" t="s">
        <v>1526</v>
      </c>
      <c r="K265" s="3" t="s">
        <v>1527</v>
      </c>
      <c r="L265" s="3" t="s">
        <v>1528</v>
      </c>
    </row>
    <row r="266" spans="1:12" x14ac:dyDescent="0.2">
      <c r="A266" s="1" t="s">
        <v>1529</v>
      </c>
      <c r="B266" s="2" t="str">
        <f>HYPERLINK("https://docket.philalegal.org/cgi-bin/proxy.pl?ct=170104340","170104340")</f>
        <v>170104340</v>
      </c>
      <c r="C266" s="3" t="s">
        <v>1530</v>
      </c>
      <c r="D266" s="3" t="s">
        <v>64</v>
      </c>
      <c r="E266" s="3" t="s">
        <v>636</v>
      </c>
      <c r="F266" s="3" t="s">
        <v>1531</v>
      </c>
      <c r="G266" s="3" t="s">
        <v>3672</v>
      </c>
      <c r="H266" s="3" t="s">
        <v>1532</v>
      </c>
      <c r="I266" s="3"/>
      <c r="J266" s="3" t="s">
        <v>1533</v>
      </c>
      <c r="K266" s="3">
        <v>123221200</v>
      </c>
      <c r="L266" s="3" t="s">
        <v>1534</v>
      </c>
    </row>
    <row r="267" spans="1:12" x14ac:dyDescent="0.2">
      <c r="A267" s="1" t="s">
        <v>1535</v>
      </c>
      <c r="B267" s="2" t="str">
        <f>HYPERLINK("https://docket.philalegal.org/cgi-bin/proxy.pl?ct=210401212","210401212")</f>
        <v>210401212</v>
      </c>
      <c r="C267" s="3" t="s">
        <v>1536</v>
      </c>
      <c r="D267" s="3" t="s">
        <v>18</v>
      </c>
      <c r="E267" s="3" t="s">
        <v>1537</v>
      </c>
      <c r="F267" s="3" t="s">
        <v>688</v>
      </c>
      <c r="G267" s="3" t="s">
        <v>3780</v>
      </c>
      <c r="H267" s="3" t="s">
        <v>1538</v>
      </c>
      <c r="I267" s="3" t="s">
        <v>1539</v>
      </c>
      <c r="J267" s="3" t="s">
        <v>1540</v>
      </c>
      <c r="K267" s="3">
        <v>301361500</v>
      </c>
      <c r="L267" s="3" t="s">
        <v>1541</v>
      </c>
    </row>
    <row r="268" spans="1:12" x14ac:dyDescent="0.2">
      <c r="A268" s="1" t="s">
        <v>1542</v>
      </c>
      <c r="B268" s="2" t="str">
        <f>HYPERLINK("https://docket.philalegal.org/cgi-bin/proxy.pl?ct=140801945","140801945")</f>
        <v>140801945</v>
      </c>
      <c r="C268" s="3" t="s">
        <v>582</v>
      </c>
      <c r="D268" s="3" t="s">
        <v>18</v>
      </c>
      <c r="E268" s="3" t="s">
        <v>583</v>
      </c>
      <c r="F268" s="3" t="s">
        <v>173</v>
      </c>
      <c r="G268" s="3" t="s">
        <v>584</v>
      </c>
      <c r="H268" s="3" t="s">
        <v>584</v>
      </c>
      <c r="I268" s="3"/>
      <c r="J268" s="3" t="s">
        <v>1543</v>
      </c>
      <c r="K268" s="3">
        <v>871290000</v>
      </c>
      <c r="L268" s="3" t="s">
        <v>586</v>
      </c>
    </row>
    <row r="269" spans="1:12" x14ac:dyDescent="0.2">
      <c r="A269" s="1" t="s">
        <v>1544</v>
      </c>
      <c r="B269" s="2" t="str">
        <f>HYPERLINK("https://docket.philalegal.org/cgi-bin/proxy.pl?ct=231003229","231003229")</f>
        <v>231003229</v>
      </c>
      <c r="C269" s="3" t="s">
        <v>1545</v>
      </c>
      <c r="D269" s="3" t="s">
        <v>216</v>
      </c>
      <c r="E269" s="3" t="s">
        <v>35</v>
      </c>
      <c r="F269" s="3" t="s">
        <v>36</v>
      </c>
      <c r="G269" s="3" t="s">
        <v>3673</v>
      </c>
      <c r="H269" s="3" t="s">
        <v>1546</v>
      </c>
      <c r="I269" s="3" t="s">
        <v>1547</v>
      </c>
      <c r="J269" s="3" t="s">
        <v>1548</v>
      </c>
      <c r="K269" s="3">
        <v>882609300</v>
      </c>
      <c r="L269" s="3" t="s">
        <v>1549</v>
      </c>
    </row>
    <row r="270" spans="1:12" x14ac:dyDescent="0.2">
      <c r="A270" s="1" t="s">
        <v>1550</v>
      </c>
      <c r="B270" s="2" t="str">
        <f>HYPERLINK("https://docket.philalegal.org/cgi-bin/proxy.pl?ct=220900665","220900665")</f>
        <v>220900665</v>
      </c>
      <c r="C270" s="3" t="s">
        <v>1551</v>
      </c>
      <c r="D270" s="3" t="s">
        <v>18</v>
      </c>
      <c r="E270" s="3" t="s">
        <v>194</v>
      </c>
      <c r="F270" s="3" t="s">
        <v>454</v>
      </c>
      <c r="G270" s="3"/>
      <c r="H270" s="3" t="s">
        <v>1552</v>
      </c>
      <c r="I270" s="3"/>
      <c r="J270" s="3" t="s">
        <v>1553</v>
      </c>
      <c r="K270" s="3">
        <v>871288000</v>
      </c>
      <c r="L270" s="3" t="s">
        <v>1554</v>
      </c>
    </row>
    <row r="271" spans="1:12" x14ac:dyDescent="0.2">
      <c r="A271" s="1" t="s">
        <v>1555</v>
      </c>
      <c r="B271" s="2" t="str">
        <f>HYPERLINK("https://docket.philalegal.org/cgi-bin/proxy.pl?ct=231101749","231101749")</f>
        <v>231101749</v>
      </c>
      <c r="C271" s="3" t="s">
        <v>1556</v>
      </c>
      <c r="D271" s="3" t="s">
        <v>208</v>
      </c>
      <c r="E271" s="3" t="s">
        <v>1036</v>
      </c>
      <c r="F271" s="3"/>
      <c r="G271" s="3"/>
      <c r="H271" s="3"/>
      <c r="I271" s="3"/>
      <c r="J271" s="3" t="s">
        <v>1557</v>
      </c>
      <c r="K271" s="3">
        <v>884342375</v>
      </c>
      <c r="L271" s="3" t="s">
        <v>1558</v>
      </c>
    </row>
    <row r="272" spans="1:12" x14ac:dyDescent="0.2">
      <c r="A272" s="1" t="s">
        <v>1559</v>
      </c>
      <c r="B272" s="2" t="str">
        <f>HYPERLINK("https://docket.philalegal.org/cgi-bin/proxy.pl?ct=180101114","180101114")</f>
        <v>180101114</v>
      </c>
      <c r="C272" s="3" t="s">
        <v>1560</v>
      </c>
      <c r="D272" s="3" t="s">
        <v>18</v>
      </c>
      <c r="E272" s="3" t="s">
        <v>230</v>
      </c>
      <c r="F272" s="3" t="s">
        <v>173</v>
      </c>
      <c r="G272" s="3" t="s">
        <v>3674</v>
      </c>
      <c r="H272" s="3" t="s">
        <v>1561</v>
      </c>
      <c r="I272" s="3"/>
      <c r="J272" s="3" t="s">
        <v>1562</v>
      </c>
      <c r="K272" s="3">
        <v>362235100</v>
      </c>
      <c r="L272" s="3" t="s">
        <v>1563</v>
      </c>
    </row>
    <row r="273" spans="1:12" x14ac:dyDescent="0.2">
      <c r="A273" s="1" t="s">
        <v>1564</v>
      </c>
      <c r="B273" s="2" t="str">
        <f>HYPERLINK("https://docket.philalegal.org/cgi-bin/proxy.pl?ct=171102363","171102363")</f>
        <v>171102363</v>
      </c>
      <c r="C273" s="3" t="s">
        <v>1565</v>
      </c>
      <c r="D273" s="3" t="s">
        <v>88</v>
      </c>
      <c r="E273" s="3" t="s">
        <v>1566</v>
      </c>
      <c r="F273" s="3" t="s">
        <v>173</v>
      </c>
      <c r="G273" s="3" t="s">
        <v>3675</v>
      </c>
      <c r="H273" s="3" t="s">
        <v>1567</v>
      </c>
      <c r="I273" s="3"/>
      <c r="J273" s="3" t="s">
        <v>1568</v>
      </c>
      <c r="K273" s="3">
        <v>462084100</v>
      </c>
      <c r="L273" s="3" t="s">
        <v>1569</v>
      </c>
    </row>
    <row r="274" spans="1:12" x14ac:dyDescent="0.2">
      <c r="A274" s="1" t="s">
        <v>1570</v>
      </c>
      <c r="B274" s="2" t="str">
        <f>HYPERLINK("https://docket.philalegal.org/cgi-bin/proxy.pl?ct=150803725","150803725")</f>
        <v>150803725</v>
      </c>
      <c r="C274" s="3" t="s">
        <v>1571</v>
      </c>
      <c r="D274" s="3" t="s">
        <v>18</v>
      </c>
      <c r="E274" s="3" t="s">
        <v>1572</v>
      </c>
      <c r="F274" s="3" t="s">
        <v>36</v>
      </c>
      <c r="G274" s="3" t="s">
        <v>3676</v>
      </c>
      <c r="H274" s="3" t="s">
        <v>1573</v>
      </c>
      <c r="I274" s="3" t="s">
        <v>1574</v>
      </c>
      <c r="J274" s="3" t="s">
        <v>1575</v>
      </c>
      <c r="K274" s="3" t="s">
        <v>1576</v>
      </c>
      <c r="L274" s="3" t="s">
        <v>1577</v>
      </c>
    </row>
    <row r="275" spans="1:12" x14ac:dyDescent="0.2">
      <c r="A275" s="1" t="s">
        <v>1578</v>
      </c>
      <c r="B275" s="2" t="str">
        <f>HYPERLINK("https://docket.philalegal.org/cgi-bin/proxy.pl?ct=231101725","231101725")</f>
        <v>231101725</v>
      </c>
      <c r="C275" s="3" t="s">
        <v>1579</v>
      </c>
      <c r="D275" s="3" t="s">
        <v>208</v>
      </c>
      <c r="E275" s="3" t="s">
        <v>1036</v>
      </c>
      <c r="F275" s="3"/>
      <c r="G275" s="3" t="s">
        <v>1580</v>
      </c>
      <c r="H275" s="3" t="s">
        <v>1580</v>
      </c>
      <c r="I275" s="3"/>
      <c r="J275" s="3" t="s">
        <v>1581</v>
      </c>
      <c r="K275" s="3">
        <v>491076900</v>
      </c>
      <c r="L275" s="3" t="s">
        <v>1582</v>
      </c>
    </row>
    <row r="276" spans="1:12" x14ac:dyDescent="0.2">
      <c r="A276" s="1" t="s">
        <v>1583</v>
      </c>
      <c r="B276" s="2" t="str">
        <f>HYPERLINK("https://docket.philalegal.org/cgi-bin/proxy.pl?ct=201001450","201001450")</f>
        <v>201001450</v>
      </c>
      <c r="C276" s="3" t="s">
        <v>1584</v>
      </c>
      <c r="D276" s="3" t="s">
        <v>88</v>
      </c>
      <c r="E276" s="3" t="s">
        <v>230</v>
      </c>
      <c r="F276" s="3" t="s">
        <v>36</v>
      </c>
      <c r="G276" s="3" t="s">
        <v>1585</v>
      </c>
      <c r="H276" s="3" t="s">
        <v>1585</v>
      </c>
      <c r="I276" s="3" t="s">
        <v>1586</v>
      </c>
      <c r="J276" s="3" t="s">
        <v>1587</v>
      </c>
      <c r="K276" s="3">
        <v>301328900</v>
      </c>
      <c r="L276" s="3" t="s">
        <v>1588</v>
      </c>
    </row>
    <row r="277" spans="1:12" x14ac:dyDescent="0.2">
      <c r="A277" s="1" t="s">
        <v>1589</v>
      </c>
      <c r="B277" s="2" t="str">
        <f>HYPERLINK("https://docket.philalegal.org/cgi-bin/proxy.pl?ct=120802960","120802960")</f>
        <v>120802960</v>
      </c>
      <c r="C277" s="3" t="s">
        <v>1590</v>
      </c>
      <c r="D277" s="3" t="s">
        <v>88</v>
      </c>
      <c r="E277" s="3" t="s">
        <v>1591</v>
      </c>
      <c r="F277" s="3" t="s">
        <v>36</v>
      </c>
      <c r="G277" s="3" t="s">
        <v>1592</v>
      </c>
      <c r="H277" s="3" t="s">
        <v>1592</v>
      </c>
      <c r="I277" s="3"/>
      <c r="J277" s="3" t="s">
        <v>1593</v>
      </c>
      <c r="K277" s="3">
        <v>151376800</v>
      </c>
      <c r="L277" s="3" t="s">
        <v>1594</v>
      </c>
    </row>
    <row r="278" spans="1:12" x14ac:dyDescent="0.2">
      <c r="A278" s="1" t="s">
        <v>1595</v>
      </c>
      <c r="B278" s="2" t="str">
        <f>HYPERLINK("https://docket.philalegal.org/cgi-bin/proxy.pl?ct=211101733","211101733")</f>
        <v>211101733</v>
      </c>
      <c r="C278" s="3" t="s">
        <v>1596</v>
      </c>
      <c r="D278" s="3" t="s">
        <v>18</v>
      </c>
      <c r="E278" s="3" t="s">
        <v>194</v>
      </c>
      <c r="F278" s="3" t="s">
        <v>1597</v>
      </c>
      <c r="G278" s="3"/>
      <c r="H278" s="3" t="s">
        <v>1598</v>
      </c>
      <c r="I278" s="3" t="s">
        <v>1599</v>
      </c>
      <c r="J278" s="3" t="s">
        <v>1600</v>
      </c>
      <c r="K278" s="3">
        <v>302175400</v>
      </c>
      <c r="L278" s="3" t="s">
        <v>1601</v>
      </c>
    </row>
    <row r="279" spans="1:12" x14ac:dyDescent="0.2">
      <c r="A279" s="1" t="s">
        <v>1602</v>
      </c>
      <c r="B279" s="2" t="str">
        <f>HYPERLINK("https://docket.philalegal.org/cgi-bin/proxy.pl?ct=190100019","190100019")</f>
        <v>190100019</v>
      </c>
      <c r="C279" s="3" t="s">
        <v>185</v>
      </c>
      <c r="D279" s="3" t="s">
        <v>13</v>
      </c>
      <c r="E279" s="3" t="s">
        <v>187</v>
      </c>
      <c r="F279" s="3" t="s">
        <v>210</v>
      </c>
      <c r="G279" s="3" t="s">
        <v>1603</v>
      </c>
      <c r="H279" s="3" t="s">
        <v>1603</v>
      </c>
      <c r="I279" s="3" t="s">
        <v>1604</v>
      </c>
      <c r="J279" s="3" t="s">
        <v>1605</v>
      </c>
      <c r="K279" s="3">
        <v>273029900</v>
      </c>
      <c r="L279" s="3" t="s">
        <v>1606</v>
      </c>
    </row>
    <row r="280" spans="1:12" x14ac:dyDescent="0.2">
      <c r="A280" s="1" t="s">
        <v>1607</v>
      </c>
      <c r="B280" s="2" t="str">
        <f>HYPERLINK("https://docket.philalegal.org/cgi-bin/proxy.pl?ct=221101905","221101905")</f>
        <v>221101905</v>
      </c>
      <c r="C280" s="3" t="s">
        <v>1608</v>
      </c>
      <c r="D280" s="3" t="s">
        <v>18</v>
      </c>
      <c r="E280" s="3" t="s">
        <v>35</v>
      </c>
      <c r="F280" s="3" t="s">
        <v>36</v>
      </c>
      <c r="G280" s="3"/>
      <c r="H280" s="3" t="s">
        <v>1609</v>
      </c>
      <c r="I280" s="3" t="s">
        <v>1610</v>
      </c>
      <c r="J280" s="3" t="s">
        <v>1611</v>
      </c>
      <c r="K280" s="3">
        <v>181415800</v>
      </c>
      <c r="L280" s="3" t="s">
        <v>183</v>
      </c>
    </row>
    <row r="281" spans="1:12" x14ac:dyDescent="0.2">
      <c r="A281" s="1" t="s">
        <v>1612</v>
      </c>
      <c r="B281" s="2" t="str">
        <f>HYPERLINK("https://docket.philalegal.org/cgi-bin/proxy.pl?ct=180703276","180703276")</f>
        <v>180703276</v>
      </c>
      <c r="C281" s="3" t="s">
        <v>1613</v>
      </c>
      <c r="D281" s="3" t="s">
        <v>13</v>
      </c>
      <c r="E281" s="3" t="s">
        <v>230</v>
      </c>
      <c r="F281" s="3" t="s">
        <v>395</v>
      </c>
      <c r="G281" s="3" t="s">
        <v>1614</v>
      </c>
      <c r="H281" s="3" t="s">
        <v>1614</v>
      </c>
      <c r="I281" s="3"/>
      <c r="J281" s="3" t="s">
        <v>1615</v>
      </c>
      <c r="K281" s="3">
        <v>361167700</v>
      </c>
      <c r="L281" s="3" t="s">
        <v>1616</v>
      </c>
    </row>
    <row r="282" spans="1:12" x14ac:dyDescent="0.2">
      <c r="A282" s="1" t="s">
        <v>1617</v>
      </c>
      <c r="B282" s="2" t="str">
        <f>HYPERLINK("https://docket.philalegal.org/cgi-bin/proxy.pl?ct=160701385","160701385")</f>
        <v>160701385</v>
      </c>
      <c r="C282" s="3" t="s">
        <v>1618</v>
      </c>
      <c r="D282" s="3" t="s">
        <v>18</v>
      </c>
      <c r="E282" s="3" t="s">
        <v>305</v>
      </c>
      <c r="F282" s="3" t="s">
        <v>1619</v>
      </c>
      <c r="G282" s="3" t="s">
        <v>3677</v>
      </c>
      <c r="H282" s="3" t="s">
        <v>1620</v>
      </c>
      <c r="I282" s="3"/>
      <c r="J282" s="3" t="s">
        <v>1621</v>
      </c>
      <c r="K282" s="3">
        <v>364015100</v>
      </c>
      <c r="L282" s="3" t="s">
        <v>489</v>
      </c>
    </row>
    <row r="283" spans="1:12" x14ac:dyDescent="0.2">
      <c r="A283" s="1" t="s">
        <v>1622</v>
      </c>
      <c r="B283" s="2" t="str">
        <f>HYPERLINK("https://docket.philalegal.org/cgi-bin/proxy.pl?ct=180700582","180700582")</f>
        <v>180700582</v>
      </c>
      <c r="C283" s="3" t="s">
        <v>1623</v>
      </c>
      <c r="D283" s="3" t="s">
        <v>13</v>
      </c>
      <c r="E283" s="3" t="s">
        <v>319</v>
      </c>
      <c r="F283" s="3" t="s">
        <v>405</v>
      </c>
      <c r="G283" s="3" t="s">
        <v>3678</v>
      </c>
      <c r="H283" s="3" t="s">
        <v>1624</v>
      </c>
      <c r="I283" s="3" t="s">
        <v>1625</v>
      </c>
      <c r="J283" s="3" t="s">
        <v>1626</v>
      </c>
      <c r="K283" s="3">
        <v>291322310</v>
      </c>
      <c r="L283" s="3" t="s">
        <v>1627</v>
      </c>
    </row>
    <row r="284" spans="1:12" x14ac:dyDescent="0.2">
      <c r="A284" s="1" t="s">
        <v>1628</v>
      </c>
      <c r="B284" s="2" t="str">
        <f>HYPERLINK("https://docket.philalegal.org/cgi-bin/proxy.pl?ct=140801169","140801169")</f>
        <v>140801169</v>
      </c>
      <c r="C284" s="3" t="s">
        <v>1629</v>
      </c>
      <c r="D284" s="3" t="s">
        <v>13</v>
      </c>
      <c r="E284" s="3" t="s">
        <v>1630</v>
      </c>
      <c r="F284" s="3" t="s">
        <v>36</v>
      </c>
      <c r="G284" s="3" t="s">
        <v>3679</v>
      </c>
      <c r="H284" s="3" t="s">
        <v>1631</v>
      </c>
      <c r="I284" s="3" t="s">
        <v>1222</v>
      </c>
      <c r="J284" s="3" t="s">
        <v>1632</v>
      </c>
      <c r="K284" s="3">
        <v>365210000</v>
      </c>
      <c r="L284" s="3" t="s">
        <v>1633</v>
      </c>
    </row>
    <row r="285" spans="1:12" x14ac:dyDescent="0.2">
      <c r="A285" s="1" t="s">
        <v>1634</v>
      </c>
      <c r="B285" s="2" t="str">
        <f>HYPERLINK("https://docket.philalegal.org/cgi-bin/proxy.pl?ct=220802739","220802739")</f>
        <v>220802739</v>
      </c>
      <c r="C285" s="3" t="s">
        <v>185</v>
      </c>
      <c r="D285" s="3" t="s">
        <v>88</v>
      </c>
      <c r="E285" s="3" t="s">
        <v>187</v>
      </c>
      <c r="F285" s="3" t="s">
        <v>210</v>
      </c>
      <c r="G285" s="3" t="s">
        <v>1635</v>
      </c>
      <c r="H285" s="3" t="s">
        <v>1635</v>
      </c>
      <c r="I285" s="3" t="s">
        <v>1636</v>
      </c>
      <c r="J285" s="3" t="s">
        <v>1637</v>
      </c>
      <c r="K285" s="3">
        <v>361386300</v>
      </c>
      <c r="L285" s="3" t="s">
        <v>416</v>
      </c>
    </row>
    <row r="286" spans="1:12" x14ac:dyDescent="0.2">
      <c r="A286" s="1" t="s">
        <v>1638</v>
      </c>
      <c r="B286" s="2" t="str">
        <f>HYPERLINK("https://docket.philalegal.org/cgi-bin/proxy.pl?ct=180502568","180502568")</f>
        <v>180502568</v>
      </c>
      <c r="C286" s="3" t="s">
        <v>1639</v>
      </c>
      <c r="D286" s="3" t="s">
        <v>332</v>
      </c>
      <c r="E286" s="3" t="s">
        <v>1640</v>
      </c>
      <c r="F286" s="3" t="s">
        <v>1641</v>
      </c>
      <c r="G286" s="3" t="s">
        <v>3680</v>
      </c>
      <c r="H286" s="3" t="s">
        <v>1642</v>
      </c>
      <c r="I286" s="3"/>
      <c r="J286" s="3" t="s">
        <v>1643</v>
      </c>
      <c r="K286" s="3">
        <v>162011600</v>
      </c>
      <c r="L286" s="3" t="s">
        <v>1644</v>
      </c>
    </row>
    <row r="287" spans="1:12" x14ac:dyDescent="0.2">
      <c r="A287" s="1" t="s">
        <v>1645</v>
      </c>
      <c r="B287" s="2" t="str">
        <f>HYPERLINK("https://docket.philalegal.org/cgi-bin/proxy.pl?ct=180700700","180700700")</f>
        <v>180700700</v>
      </c>
      <c r="C287" s="3" t="s">
        <v>1646</v>
      </c>
      <c r="D287" s="3" t="s">
        <v>13</v>
      </c>
      <c r="E287" s="3" t="s">
        <v>230</v>
      </c>
      <c r="F287" s="3" t="s">
        <v>395</v>
      </c>
      <c r="G287" s="3"/>
      <c r="H287" s="3" t="s">
        <v>1647</v>
      </c>
      <c r="I287" s="3" t="s">
        <v>1648</v>
      </c>
      <c r="J287" s="3" t="s">
        <v>1649</v>
      </c>
      <c r="K287" s="3">
        <v>363103100</v>
      </c>
      <c r="L287" s="3" t="s">
        <v>1650</v>
      </c>
    </row>
    <row r="288" spans="1:12" x14ac:dyDescent="0.2">
      <c r="A288" s="1" t="s">
        <v>1651</v>
      </c>
      <c r="B288" s="2" t="str">
        <f>HYPERLINK("https://docket.philalegal.org/cgi-bin/proxy.pl?ct=150802492","150802492")</f>
        <v>150802492</v>
      </c>
      <c r="C288" s="3" t="s">
        <v>1652</v>
      </c>
      <c r="D288" s="3" t="s">
        <v>18</v>
      </c>
      <c r="E288" s="3" t="s">
        <v>1653</v>
      </c>
      <c r="F288" s="3" t="s">
        <v>36</v>
      </c>
      <c r="G288" s="3" t="s">
        <v>3681</v>
      </c>
      <c r="H288" s="3" t="s">
        <v>1654</v>
      </c>
      <c r="I288" s="3" t="s">
        <v>1655</v>
      </c>
      <c r="J288" s="3" t="s">
        <v>1656</v>
      </c>
      <c r="K288" s="3">
        <v>152236300</v>
      </c>
      <c r="L288" s="3" t="s">
        <v>1657</v>
      </c>
    </row>
    <row r="289" spans="1:12" x14ac:dyDescent="0.2">
      <c r="A289" s="1" t="s">
        <v>1658</v>
      </c>
      <c r="B289" s="2" t="str">
        <f>HYPERLINK("https://docket.philalegal.org/cgi-bin/proxy.pl?ct=170401295","170401295")</f>
        <v>170401295</v>
      </c>
      <c r="C289" s="3" t="s">
        <v>185</v>
      </c>
      <c r="D289" s="3" t="s">
        <v>18</v>
      </c>
      <c r="E289" s="3" t="s">
        <v>187</v>
      </c>
      <c r="F289" s="3" t="s">
        <v>354</v>
      </c>
      <c r="G289" s="3" t="s">
        <v>3682</v>
      </c>
      <c r="H289" s="3" t="s">
        <v>1659</v>
      </c>
      <c r="I289" s="3"/>
      <c r="J289" s="3" t="s">
        <v>1660</v>
      </c>
      <c r="K289" s="3">
        <v>141457900</v>
      </c>
      <c r="L289" s="3" t="s">
        <v>773</v>
      </c>
    </row>
    <row r="290" spans="1:12" x14ac:dyDescent="0.2">
      <c r="A290" s="1" t="s">
        <v>1661</v>
      </c>
      <c r="B290" s="2" t="str">
        <f>HYPERLINK("https://docket.philalegal.org/cgi-bin/proxy.pl?ct=210900410","210900410")</f>
        <v>210900410</v>
      </c>
      <c r="C290" s="3" t="s">
        <v>1662</v>
      </c>
      <c r="D290" s="3" t="s">
        <v>13</v>
      </c>
      <c r="E290" s="3" t="s">
        <v>1663</v>
      </c>
      <c r="F290" s="3" t="s">
        <v>36</v>
      </c>
      <c r="G290" s="3" t="s">
        <v>3683</v>
      </c>
      <c r="H290" s="3" t="s">
        <v>1664</v>
      </c>
      <c r="I290" s="3" t="s">
        <v>1665</v>
      </c>
      <c r="J290" s="3" t="s">
        <v>1666</v>
      </c>
      <c r="K290" s="3">
        <v>172392600</v>
      </c>
      <c r="L290" s="3" t="s">
        <v>1667</v>
      </c>
    </row>
    <row r="291" spans="1:12" x14ac:dyDescent="0.2">
      <c r="A291" s="1" t="s">
        <v>1668</v>
      </c>
      <c r="B291" s="2" t="str">
        <f>HYPERLINK("https://docket.philalegal.org/cgi-bin/proxy.pl?ct=130401062","130401062")</f>
        <v>130401062</v>
      </c>
      <c r="C291" s="3" t="s">
        <v>1669</v>
      </c>
      <c r="D291" s="3" t="s">
        <v>64</v>
      </c>
      <c r="E291" s="3" t="s">
        <v>1670</v>
      </c>
      <c r="F291" s="3" t="s">
        <v>19</v>
      </c>
      <c r="G291" s="3" t="s">
        <v>3684</v>
      </c>
      <c r="H291" s="3" t="s">
        <v>1671</v>
      </c>
      <c r="I291" s="3"/>
      <c r="J291" s="3" t="s">
        <v>1672</v>
      </c>
      <c r="K291" s="3">
        <v>302075700</v>
      </c>
      <c r="L291" s="3" t="s">
        <v>1673</v>
      </c>
    </row>
    <row r="292" spans="1:12" x14ac:dyDescent="0.2">
      <c r="A292" s="1" t="s">
        <v>1674</v>
      </c>
      <c r="B292" s="2" t="str">
        <f>HYPERLINK("https://docket.philalegal.org/cgi-bin/proxy.pl?ct=240100825","240100825")</f>
        <v>240100825</v>
      </c>
      <c r="C292" s="3" t="s">
        <v>1675</v>
      </c>
      <c r="D292" s="3" t="s">
        <v>208</v>
      </c>
      <c r="E292" s="3" t="s">
        <v>1676</v>
      </c>
      <c r="F292" s="3" t="s">
        <v>36</v>
      </c>
      <c r="G292" s="3" t="s">
        <v>1677</v>
      </c>
      <c r="H292" s="3" t="s">
        <v>1677</v>
      </c>
      <c r="I292" s="3"/>
      <c r="J292" s="3" t="s">
        <v>1678</v>
      </c>
      <c r="K292" s="3">
        <v>411320300</v>
      </c>
      <c r="L292" s="3" t="s">
        <v>1679</v>
      </c>
    </row>
    <row r="293" spans="1:12" x14ac:dyDescent="0.2">
      <c r="A293" s="1" t="s">
        <v>1680</v>
      </c>
      <c r="B293" s="2" t="str">
        <f>HYPERLINK("https://docket.philalegal.org/cgi-bin/proxy.pl?ct=180402414","180402414")</f>
        <v>180402414</v>
      </c>
      <c r="C293" s="3" t="s">
        <v>1681</v>
      </c>
      <c r="D293" s="3" t="s">
        <v>88</v>
      </c>
      <c r="E293" s="3" t="s">
        <v>230</v>
      </c>
      <c r="F293" s="3" t="s">
        <v>173</v>
      </c>
      <c r="G293" s="3" t="s">
        <v>3685</v>
      </c>
      <c r="H293" s="3" t="s">
        <v>1682</v>
      </c>
      <c r="I293" s="3"/>
      <c r="J293" s="3" t="s">
        <v>1268</v>
      </c>
      <c r="K293" s="3">
        <v>273030100</v>
      </c>
      <c r="L293" s="3" t="s">
        <v>1683</v>
      </c>
    </row>
    <row r="294" spans="1:12" x14ac:dyDescent="0.2">
      <c r="A294" s="1" t="s">
        <v>1684</v>
      </c>
      <c r="B294" s="2" t="str">
        <f>HYPERLINK("https://docket.philalegal.org/cgi-bin/proxy.pl?ct=231101755","231101755")</f>
        <v>231101755</v>
      </c>
      <c r="C294" s="3" t="s">
        <v>1685</v>
      </c>
      <c r="D294" s="3" t="s">
        <v>208</v>
      </c>
      <c r="E294" s="3" t="s">
        <v>1036</v>
      </c>
      <c r="F294" s="3"/>
      <c r="G294" s="3"/>
      <c r="H294" s="3" t="s">
        <v>1686</v>
      </c>
      <c r="I294" s="3"/>
      <c r="J294" s="3" t="s">
        <v>1687</v>
      </c>
      <c r="K294" s="3">
        <v>243026700</v>
      </c>
      <c r="L294" s="3" t="s">
        <v>1688</v>
      </c>
    </row>
    <row r="295" spans="1:12" x14ac:dyDescent="0.2">
      <c r="A295" s="1" t="s">
        <v>1689</v>
      </c>
      <c r="B295" s="2" t="str">
        <f>HYPERLINK("https://docket.philalegal.org/cgi-bin/proxy.pl?ct=190704445","190704445")</f>
        <v>190704445</v>
      </c>
      <c r="C295" s="3" t="s">
        <v>1690</v>
      </c>
      <c r="D295" s="3" t="s">
        <v>64</v>
      </c>
      <c r="E295" s="3" t="s">
        <v>35</v>
      </c>
      <c r="F295" s="3" t="s">
        <v>36</v>
      </c>
      <c r="G295" s="3" t="s">
        <v>3686</v>
      </c>
      <c r="H295" s="3" t="s">
        <v>1691</v>
      </c>
      <c r="I295" s="3"/>
      <c r="J295" s="3" t="s">
        <v>1692</v>
      </c>
      <c r="K295" s="3">
        <v>871195700</v>
      </c>
      <c r="L295" s="3" t="s">
        <v>1693</v>
      </c>
    </row>
    <row r="296" spans="1:12" x14ac:dyDescent="0.2">
      <c r="A296" s="1" t="s">
        <v>1694</v>
      </c>
      <c r="B296" s="2" t="str">
        <f>HYPERLINK("https://docket.philalegal.org/cgi-bin/proxy.pl?ct=220201626","220201626")</f>
        <v>220201626</v>
      </c>
      <c r="C296" s="3" t="s">
        <v>1695</v>
      </c>
      <c r="D296" s="3" t="s">
        <v>13</v>
      </c>
      <c r="E296" s="3" t="s">
        <v>35</v>
      </c>
      <c r="F296" s="3" t="s">
        <v>36</v>
      </c>
      <c r="G296" s="3" t="s">
        <v>3884</v>
      </c>
      <c r="H296" s="3" t="s">
        <v>1696</v>
      </c>
      <c r="I296" s="3"/>
      <c r="J296" s="3" t="s">
        <v>1697</v>
      </c>
      <c r="K296" s="3">
        <v>462072000</v>
      </c>
      <c r="L296" s="3" t="s">
        <v>1698</v>
      </c>
    </row>
    <row r="297" spans="1:12" x14ac:dyDescent="0.2">
      <c r="A297" s="1" t="s">
        <v>1699</v>
      </c>
      <c r="B297" s="2" t="str">
        <f>HYPERLINK("https://docket.philalegal.org/cgi-bin/proxy.pl?ct=120600895","120600895")</f>
        <v>120600895</v>
      </c>
      <c r="C297" s="3" t="s">
        <v>1700</v>
      </c>
      <c r="D297" s="3" t="s">
        <v>64</v>
      </c>
      <c r="E297" s="3" t="s">
        <v>26</v>
      </c>
      <c r="F297" s="3" t="s">
        <v>36</v>
      </c>
      <c r="G297" s="3" t="s">
        <v>1701</v>
      </c>
      <c r="H297" s="3" t="s">
        <v>1701</v>
      </c>
      <c r="I297" s="3" t="s">
        <v>1702</v>
      </c>
      <c r="J297" s="3" t="s">
        <v>1703</v>
      </c>
      <c r="K297" s="3">
        <v>363006100</v>
      </c>
      <c r="L297" s="3" t="s">
        <v>1704</v>
      </c>
    </row>
    <row r="298" spans="1:12" x14ac:dyDescent="0.2">
      <c r="A298" s="1" t="s">
        <v>1705</v>
      </c>
      <c r="B298" s="2" t="str">
        <f>HYPERLINK("https://docket.philalegal.org/cgi-bin/proxy.pl?ct=220501096","220501096")</f>
        <v>220501096</v>
      </c>
      <c r="C298" s="3" t="s">
        <v>1706</v>
      </c>
      <c r="D298" s="3" t="s">
        <v>186</v>
      </c>
      <c r="E298" s="3" t="s">
        <v>1707</v>
      </c>
      <c r="F298" s="3" t="s">
        <v>36</v>
      </c>
      <c r="G298" s="3" t="s">
        <v>3687</v>
      </c>
      <c r="H298" s="3" t="s">
        <v>1708</v>
      </c>
      <c r="I298" s="3" t="s">
        <v>561</v>
      </c>
      <c r="J298" s="3" t="s">
        <v>1709</v>
      </c>
      <c r="K298" s="3">
        <v>871530970</v>
      </c>
      <c r="L298" s="3" t="s">
        <v>1710</v>
      </c>
    </row>
    <row r="299" spans="1:12" x14ac:dyDescent="0.2">
      <c r="A299" s="1" t="s">
        <v>1711</v>
      </c>
      <c r="B299" s="2" t="str">
        <f>HYPERLINK("https://docket.philalegal.org/cgi-bin/proxy.pl?ct=200701879","200701879")</f>
        <v>200701879</v>
      </c>
      <c r="C299" s="3" t="s">
        <v>1712</v>
      </c>
      <c r="D299" s="3" t="s">
        <v>13</v>
      </c>
      <c r="E299" s="3" t="s">
        <v>460</v>
      </c>
      <c r="F299" s="3" t="s">
        <v>461</v>
      </c>
      <c r="G299" s="3" t="s">
        <v>3885</v>
      </c>
      <c r="H299" s="3" t="s">
        <v>1713</v>
      </c>
      <c r="I299" s="3" t="s">
        <v>1714</v>
      </c>
      <c r="J299" s="3" t="s">
        <v>1715</v>
      </c>
      <c r="K299" s="3">
        <v>871069400</v>
      </c>
      <c r="L299" s="3" t="s">
        <v>1716</v>
      </c>
    </row>
    <row r="300" spans="1:12" x14ac:dyDescent="0.2">
      <c r="A300" s="1" t="s">
        <v>1717</v>
      </c>
      <c r="B300" s="2" t="str">
        <f>HYPERLINK("https://docket.philalegal.org/cgi-bin/proxy.pl?ct=230701691","230701691")</f>
        <v>230701691</v>
      </c>
      <c r="C300" s="3" t="s">
        <v>1718</v>
      </c>
      <c r="D300" s="3" t="s">
        <v>208</v>
      </c>
      <c r="E300" s="3" t="s">
        <v>35</v>
      </c>
      <c r="F300" s="3" t="s">
        <v>36</v>
      </c>
      <c r="G300" s="3" t="s">
        <v>1719</v>
      </c>
      <c r="H300" s="3" t="s">
        <v>1719</v>
      </c>
      <c r="I300" s="3"/>
      <c r="J300" s="3" t="s">
        <v>1720</v>
      </c>
      <c r="K300" s="3">
        <v>871402175</v>
      </c>
      <c r="L300" s="3" t="s">
        <v>1721</v>
      </c>
    </row>
    <row r="301" spans="1:12" x14ac:dyDescent="0.2">
      <c r="A301" s="1" t="s">
        <v>1722</v>
      </c>
      <c r="B301" s="2" t="str">
        <f>HYPERLINK("https://docket.philalegal.org/cgi-bin/proxy.pl?ct=180100831","180100831")</f>
        <v>180100831</v>
      </c>
      <c r="C301" s="3" t="s">
        <v>1723</v>
      </c>
      <c r="D301" s="3" t="s">
        <v>13</v>
      </c>
      <c r="E301" s="3" t="s">
        <v>1149</v>
      </c>
      <c r="F301" s="3" t="s">
        <v>899</v>
      </c>
      <c r="G301" s="3" t="s">
        <v>3311</v>
      </c>
      <c r="H301" s="3" t="s">
        <v>1724</v>
      </c>
      <c r="I301" s="3" t="s">
        <v>1725</v>
      </c>
      <c r="J301" s="3" t="s">
        <v>1726</v>
      </c>
      <c r="K301" s="3">
        <v>365167800</v>
      </c>
      <c r="L301" s="3" t="s">
        <v>1727</v>
      </c>
    </row>
    <row r="302" spans="1:12" x14ac:dyDescent="0.2">
      <c r="A302" s="1" t="s">
        <v>1728</v>
      </c>
      <c r="B302" s="2" t="str">
        <f>HYPERLINK("https://docket.philalegal.org/cgi-bin/proxy.pl?ct=190500088","190500088")</f>
        <v>190500088</v>
      </c>
      <c r="C302" s="3" t="s">
        <v>1729</v>
      </c>
      <c r="D302" s="3" t="s">
        <v>18</v>
      </c>
      <c r="E302" s="3" t="s">
        <v>187</v>
      </c>
      <c r="F302" s="3" t="s">
        <v>1730</v>
      </c>
      <c r="G302" s="3" t="s">
        <v>3886</v>
      </c>
      <c r="H302" s="3" t="s">
        <v>1731</v>
      </c>
      <c r="I302" s="3" t="s">
        <v>1262</v>
      </c>
      <c r="J302" s="3" t="s">
        <v>1732</v>
      </c>
      <c r="K302" s="3">
        <v>291117300</v>
      </c>
      <c r="L302" s="3" t="s">
        <v>267</v>
      </c>
    </row>
    <row r="303" spans="1:12" x14ac:dyDescent="0.2">
      <c r="A303" s="1" t="s">
        <v>1733</v>
      </c>
      <c r="B303" s="2" t="str">
        <f>HYPERLINK("https://docket.philalegal.org/cgi-bin/proxy.pl?ct=160603034","160603034")</f>
        <v>160603034</v>
      </c>
      <c r="C303" s="3" t="s">
        <v>1734</v>
      </c>
      <c r="D303" s="3" t="s">
        <v>18</v>
      </c>
      <c r="E303" s="3" t="s">
        <v>35</v>
      </c>
      <c r="F303" s="3" t="s">
        <v>173</v>
      </c>
      <c r="G303" s="3" t="s">
        <v>3688</v>
      </c>
      <c r="H303" s="3" t="s">
        <v>1735</v>
      </c>
      <c r="I303" s="3"/>
      <c r="J303" s="3" t="s">
        <v>1736</v>
      </c>
      <c r="K303" s="3" t="s">
        <v>1737</v>
      </c>
      <c r="L303" s="3" t="s">
        <v>1738</v>
      </c>
    </row>
    <row r="304" spans="1:12" x14ac:dyDescent="0.2">
      <c r="A304" s="1" t="s">
        <v>1739</v>
      </c>
      <c r="B304" s="2" t="str">
        <f>HYPERLINK("https://docket.philalegal.org/cgi-bin/proxy.pl?ct=190900641","190900641")</f>
        <v>190900641</v>
      </c>
      <c r="C304" s="3" t="s">
        <v>185</v>
      </c>
      <c r="D304" s="3" t="s">
        <v>18</v>
      </c>
      <c r="E304" s="3" t="s">
        <v>187</v>
      </c>
      <c r="F304" s="3" t="s">
        <v>933</v>
      </c>
      <c r="G304" s="3"/>
      <c r="H304" s="3" t="s">
        <v>1740</v>
      </c>
      <c r="I304" s="3" t="s">
        <v>1741</v>
      </c>
      <c r="J304" s="3" t="s">
        <v>1742</v>
      </c>
      <c r="K304" s="3">
        <v>871130700</v>
      </c>
      <c r="L304" s="3" t="s">
        <v>1743</v>
      </c>
    </row>
    <row r="305" spans="1:12" x14ac:dyDescent="0.2">
      <c r="A305" s="1" t="s">
        <v>1744</v>
      </c>
      <c r="B305" s="2" t="str">
        <f>HYPERLINK("https://docket.philalegal.org/cgi-bin/proxy.pl?ct=171003108","171003108")</f>
        <v>171003108</v>
      </c>
      <c r="C305" s="3" t="s">
        <v>185</v>
      </c>
      <c r="D305" s="3" t="s">
        <v>18</v>
      </c>
      <c r="E305" s="3" t="s">
        <v>187</v>
      </c>
      <c r="F305" s="3" t="s">
        <v>210</v>
      </c>
      <c r="G305" s="3"/>
      <c r="H305" s="3" t="s">
        <v>1745</v>
      </c>
      <c r="I305" s="3"/>
      <c r="J305" s="3" t="s">
        <v>1746</v>
      </c>
      <c r="K305" s="3">
        <v>772219000</v>
      </c>
      <c r="L305" s="3" t="s">
        <v>267</v>
      </c>
    </row>
    <row r="306" spans="1:12" x14ac:dyDescent="0.2">
      <c r="A306" s="1" t="s">
        <v>1747</v>
      </c>
      <c r="B306" s="2" t="str">
        <f>HYPERLINK("https://docket.philalegal.org/cgi-bin/proxy.pl?ct=210800581","210800581")</f>
        <v>210800581</v>
      </c>
      <c r="C306" s="3" t="s">
        <v>1748</v>
      </c>
      <c r="D306" s="3" t="s">
        <v>18</v>
      </c>
      <c r="E306" s="3" t="s">
        <v>319</v>
      </c>
      <c r="F306" s="3" t="s">
        <v>320</v>
      </c>
      <c r="G306" s="3" t="s">
        <v>3887</v>
      </c>
      <c r="H306" s="3" t="s">
        <v>1749</v>
      </c>
      <c r="I306" s="3" t="s">
        <v>1750</v>
      </c>
      <c r="J306" s="3" t="s">
        <v>1751</v>
      </c>
      <c r="K306" s="3">
        <v>511101100</v>
      </c>
      <c r="L306" s="3" t="s">
        <v>1752</v>
      </c>
    </row>
    <row r="307" spans="1:12" x14ac:dyDescent="0.2">
      <c r="A307" s="1" t="s">
        <v>1753</v>
      </c>
      <c r="B307" s="2" t="str">
        <f>HYPERLINK("https://docket.philalegal.org/cgi-bin/proxy.pl?ct=131101116","131101116")</f>
        <v>131101116</v>
      </c>
      <c r="C307" s="3" t="s">
        <v>1754</v>
      </c>
      <c r="D307" s="3" t="s">
        <v>13</v>
      </c>
      <c r="E307" s="3" t="s">
        <v>35</v>
      </c>
      <c r="F307" s="3" t="s">
        <v>173</v>
      </c>
      <c r="G307" s="3" t="s">
        <v>3582</v>
      </c>
      <c r="H307" s="3" t="s">
        <v>1755</v>
      </c>
      <c r="I307" s="3" t="s">
        <v>1756</v>
      </c>
      <c r="J307" s="3" t="s">
        <v>1757</v>
      </c>
      <c r="K307" s="3">
        <v>301095900</v>
      </c>
      <c r="L307" s="3" t="s">
        <v>1758</v>
      </c>
    </row>
    <row r="308" spans="1:12" x14ac:dyDescent="0.2">
      <c r="A308" s="1" t="s">
        <v>1759</v>
      </c>
      <c r="B308" s="2" t="str">
        <f>HYPERLINK("https://docket.philalegal.org/cgi-bin/proxy.pl?ct=220303044","220303044")</f>
        <v>220303044</v>
      </c>
      <c r="C308" s="3" t="s">
        <v>1760</v>
      </c>
      <c r="D308" s="3" t="s">
        <v>18</v>
      </c>
      <c r="E308" s="3" t="s">
        <v>35</v>
      </c>
      <c r="F308" s="3" t="s">
        <v>36</v>
      </c>
      <c r="G308" s="3"/>
      <c r="H308" s="3" t="s">
        <v>321</v>
      </c>
      <c r="I308" s="3" t="s">
        <v>27</v>
      </c>
      <c r="J308" s="3" t="s">
        <v>322</v>
      </c>
      <c r="K308" s="3">
        <v>881711300</v>
      </c>
      <c r="L308" s="3" t="s">
        <v>183</v>
      </c>
    </row>
    <row r="309" spans="1:12" x14ac:dyDescent="0.2">
      <c r="A309" s="1" t="s">
        <v>1761</v>
      </c>
      <c r="B309" s="2" t="str">
        <f>HYPERLINK("https://docket.philalegal.org/cgi-bin/proxy.pl?ct=200101931","200101931")</f>
        <v>200101931</v>
      </c>
      <c r="C309" s="3" t="s">
        <v>1762</v>
      </c>
      <c r="D309" s="3" t="s">
        <v>18</v>
      </c>
      <c r="E309" s="3" t="s">
        <v>319</v>
      </c>
      <c r="F309" s="3" t="s">
        <v>320</v>
      </c>
      <c r="G309" s="3"/>
      <c r="H309" s="3" t="s">
        <v>1763</v>
      </c>
      <c r="I309" s="3" t="s">
        <v>1764</v>
      </c>
      <c r="J309" s="3" t="s">
        <v>1765</v>
      </c>
      <c r="K309" s="3">
        <v>202167200</v>
      </c>
      <c r="L309" s="3" t="s">
        <v>1766</v>
      </c>
    </row>
    <row r="310" spans="1:12" x14ac:dyDescent="0.2">
      <c r="A310" s="1" t="s">
        <v>1767</v>
      </c>
      <c r="B310" s="2" t="str">
        <f>HYPERLINK("https://docket.philalegal.org/cgi-bin/proxy.pl?ct=180100835","180100835")</f>
        <v>180100835</v>
      </c>
      <c r="C310" s="3" t="s">
        <v>1768</v>
      </c>
      <c r="D310" s="3" t="s">
        <v>18</v>
      </c>
      <c r="E310" s="3" t="s">
        <v>1769</v>
      </c>
      <c r="F310" s="3" t="s">
        <v>899</v>
      </c>
      <c r="G310" s="3" t="s">
        <v>3689</v>
      </c>
      <c r="H310" s="3" t="s">
        <v>1770</v>
      </c>
      <c r="I310" s="3"/>
      <c r="J310" s="3" t="s">
        <v>1771</v>
      </c>
      <c r="K310" s="3">
        <v>364227800</v>
      </c>
      <c r="L310" s="3" t="s">
        <v>1772</v>
      </c>
    </row>
    <row r="311" spans="1:12" x14ac:dyDescent="0.2">
      <c r="A311" s="1" t="s">
        <v>1773</v>
      </c>
      <c r="B311" s="2" t="str">
        <f>HYPERLINK("https://docket.philalegal.org/cgi-bin/proxy.pl?ct=180903080","180903080")</f>
        <v>180903080</v>
      </c>
      <c r="C311" s="3" t="s">
        <v>185</v>
      </c>
      <c r="D311" s="3" t="s">
        <v>13</v>
      </c>
      <c r="E311" s="3" t="s">
        <v>187</v>
      </c>
      <c r="F311" s="3" t="s">
        <v>20</v>
      </c>
      <c r="G311" s="3" t="s">
        <v>3690</v>
      </c>
      <c r="H311" s="3" t="s">
        <v>1774</v>
      </c>
      <c r="I311" s="3" t="s">
        <v>1775</v>
      </c>
      <c r="J311" s="3" t="s">
        <v>1776</v>
      </c>
      <c r="K311" s="3">
        <v>884465255</v>
      </c>
      <c r="L311" s="3" t="s">
        <v>1777</v>
      </c>
    </row>
    <row r="312" spans="1:12" x14ac:dyDescent="0.2">
      <c r="A312" s="1" t="s">
        <v>1778</v>
      </c>
      <c r="B312" s="2" t="str">
        <f>HYPERLINK("https://docket.philalegal.org/cgi-bin/proxy.pl?ct=160800002","160800002")</f>
        <v>160800002</v>
      </c>
      <c r="C312" s="3" t="s">
        <v>1779</v>
      </c>
      <c r="D312" s="3" t="s">
        <v>18</v>
      </c>
      <c r="E312" s="3" t="s">
        <v>35</v>
      </c>
      <c r="F312" s="3" t="s">
        <v>173</v>
      </c>
      <c r="G312" s="3" t="s">
        <v>3691</v>
      </c>
      <c r="H312" s="3" t="s">
        <v>1780</v>
      </c>
      <c r="I312" s="3"/>
      <c r="J312" s="3" t="s">
        <v>1781</v>
      </c>
      <c r="K312" s="3">
        <v>411110400</v>
      </c>
      <c r="L312" s="3" t="s">
        <v>1782</v>
      </c>
    </row>
    <row r="313" spans="1:12" x14ac:dyDescent="0.2">
      <c r="A313" s="1" t="s">
        <v>1783</v>
      </c>
      <c r="B313" s="2" t="str">
        <f>HYPERLINK("https://docket.philalegal.org/cgi-bin/proxy.pl?ct=231101756","231101756")</f>
        <v>231101756</v>
      </c>
      <c r="C313" s="3" t="s">
        <v>1784</v>
      </c>
      <c r="D313" s="3" t="s">
        <v>208</v>
      </c>
      <c r="E313" s="3" t="s">
        <v>1785</v>
      </c>
      <c r="F313" s="3"/>
      <c r="G313" s="3" t="s">
        <v>3853</v>
      </c>
      <c r="H313" s="3" t="s">
        <v>1786</v>
      </c>
      <c r="I313" s="3"/>
      <c r="J313" s="3" t="s">
        <v>1787</v>
      </c>
      <c r="K313" s="3">
        <v>871530380</v>
      </c>
      <c r="L313" s="3" t="s">
        <v>1788</v>
      </c>
    </row>
    <row r="314" spans="1:12" x14ac:dyDescent="0.2">
      <c r="A314" s="1" t="s">
        <v>1789</v>
      </c>
      <c r="B314" s="2" t="str">
        <f>HYPERLINK("https://docket.philalegal.org/cgi-bin/proxy.pl?ct=181103305","181103305")</f>
        <v>181103305</v>
      </c>
      <c r="C314" s="3" t="s">
        <v>1790</v>
      </c>
      <c r="D314" s="3" t="s">
        <v>13</v>
      </c>
      <c r="E314" s="3" t="s">
        <v>595</v>
      </c>
      <c r="F314" s="3" t="s">
        <v>44</v>
      </c>
      <c r="G314" s="3"/>
      <c r="H314" s="3" t="s">
        <v>1791</v>
      </c>
      <c r="I314" s="3"/>
      <c r="J314" s="3" t="s">
        <v>1792</v>
      </c>
      <c r="K314" s="3" t="s">
        <v>1793</v>
      </c>
      <c r="L314" s="3" t="s">
        <v>1794</v>
      </c>
    </row>
    <row r="315" spans="1:12" x14ac:dyDescent="0.2">
      <c r="A315" s="1" t="s">
        <v>1795</v>
      </c>
      <c r="B315" s="2" t="str">
        <f>HYPERLINK("https://docket.philalegal.org/cgi-bin/proxy.pl?ct=210800577","210800577")</f>
        <v>210800577</v>
      </c>
      <c r="C315" s="3" t="s">
        <v>1796</v>
      </c>
      <c r="D315" s="3" t="s">
        <v>88</v>
      </c>
      <c r="E315" s="3" t="s">
        <v>319</v>
      </c>
      <c r="F315" s="3" t="s">
        <v>320</v>
      </c>
      <c r="G315" s="3" t="s">
        <v>1797</v>
      </c>
      <c r="H315" s="3" t="s">
        <v>1797</v>
      </c>
      <c r="I315" s="3"/>
      <c r="J315" s="3" t="s">
        <v>1798</v>
      </c>
      <c r="K315" s="3">
        <v>462037400</v>
      </c>
      <c r="L315" s="3" t="s">
        <v>1799</v>
      </c>
    </row>
    <row r="316" spans="1:12" x14ac:dyDescent="0.2">
      <c r="A316" s="1" t="s">
        <v>1800</v>
      </c>
      <c r="B316" s="2" t="str">
        <f>HYPERLINK("https://docket.philalegal.org/cgi-bin/proxy.pl?ct=190401517","190401517")</f>
        <v>190401517</v>
      </c>
      <c r="C316" s="3" t="s">
        <v>185</v>
      </c>
      <c r="D316" s="3" t="s">
        <v>18</v>
      </c>
      <c r="E316" s="3" t="s">
        <v>187</v>
      </c>
      <c r="F316" s="3" t="s">
        <v>688</v>
      </c>
      <c r="G316" s="3"/>
      <c r="H316" s="3" t="s">
        <v>1801</v>
      </c>
      <c r="I316" s="3"/>
      <c r="J316" s="3" t="s">
        <v>1802</v>
      </c>
      <c r="K316" s="3">
        <v>775159000</v>
      </c>
      <c r="L316" s="3" t="s">
        <v>267</v>
      </c>
    </row>
    <row r="317" spans="1:12" x14ac:dyDescent="0.2">
      <c r="A317" s="1" t="s">
        <v>1803</v>
      </c>
      <c r="B317" s="2" t="str">
        <f>HYPERLINK("https://docket.philalegal.org/cgi-bin/proxy.pl?ct=160400505","160400505")</f>
        <v>160400505</v>
      </c>
      <c r="C317" s="3" t="s">
        <v>1804</v>
      </c>
      <c r="D317" s="3" t="s">
        <v>18</v>
      </c>
      <c r="E317" s="3" t="s">
        <v>35</v>
      </c>
      <c r="F317" s="3" t="s">
        <v>173</v>
      </c>
      <c r="G317" s="3" t="s">
        <v>3692</v>
      </c>
      <c r="H317" s="3" t="s">
        <v>1805</v>
      </c>
      <c r="I317" s="3"/>
      <c r="J317" s="3" t="s">
        <v>1806</v>
      </c>
      <c r="K317" s="3">
        <v>871167500</v>
      </c>
      <c r="L317" s="3" t="s">
        <v>1807</v>
      </c>
    </row>
    <row r="318" spans="1:12" x14ac:dyDescent="0.2">
      <c r="A318" s="1" t="s">
        <v>1808</v>
      </c>
      <c r="B318" s="2" t="str">
        <f>HYPERLINK("https://docket.philalegal.org/cgi-bin/proxy.pl?ct=191202300","191202300")</f>
        <v>191202300</v>
      </c>
      <c r="C318" s="3" t="s">
        <v>185</v>
      </c>
      <c r="D318" s="3" t="s">
        <v>79</v>
      </c>
      <c r="E318" s="3" t="s">
        <v>187</v>
      </c>
      <c r="F318" s="3" t="s">
        <v>688</v>
      </c>
      <c r="G318" s="3" t="s">
        <v>1809</v>
      </c>
      <c r="H318" s="3" t="s">
        <v>1809</v>
      </c>
      <c r="I318" s="3" t="s">
        <v>1810</v>
      </c>
      <c r="J318" s="3" t="s">
        <v>1811</v>
      </c>
      <c r="K318" s="3" t="s">
        <v>1812</v>
      </c>
      <c r="L318" s="3" t="s">
        <v>1813</v>
      </c>
    </row>
    <row r="319" spans="1:12" x14ac:dyDescent="0.2">
      <c r="A319" s="1" t="s">
        <v>1814</v>
      </c>
      <c r="B319" s="2" t="str">
        <f>HYPERLINK("https://docket.philalegal.org/cgi-bin/proxy.pl?ct=160801845","160801845")</f>
        <v>160801845</v>
      </c>
      <c r="C319" s="3" t="s">
        <v>1815</v>
      </c>
      <c r="D319" s="3" t="s">
        <v>88</v>
      </c>
      <c r="E319" s="3" t="s">
        <v>565</v>
      </c>
      <c r="F319" s="3" t="s">
        <v>566</v>
      </c>
      <c r="G319" s="3" t="s">
        <v>3888</v>
      </c>
      <c r="H319" s="3" t="s">
        <v>1816</v>
      </c>
      <c r="I319" s="3"/>
      <c r="J319" s="3" t="s">
        <v>1817</v>
      </c>
      <c r="K319" s="3">
        <v>602147400</v>
      </c>
      <c r="L319" s="3" t="s">
        <v>1818</v>
      </c>
    </row>
    <row r="320" spans="1:12" x14ac:dyDescent="0.2">
      <c r="A320" s="1" t="s">
        <v>1819</v>
      </c>
      <c r="B320" s="2" t="str">
        <f>HYPERLINK("https://docket.philalegal.org/cgi-bin/proxy.pl?ct=210300071","210300071")</f>
        <v>210300071</v>
      </c>
      <c r="C320" s="3" t="s">
        <v>1820</v>
      </c>
      <c r="D320" s="3" t="s">
        <v>216</v>
      </c>
      <c r="E320" s="3" t="s">
        <v>1821</v>
      </c>
      <c r="F320" s="3" t="s">
        <v>1822</v>
      </c>
      <c r="G320" s="3" t="s">
        <v>3889</v>
      </c>
      <c r="H320" s="3" t="s">
        <v>1823</v>
      </c>
      <c r="I320" s="3" t="s">
        <v>1824</v>
      </c>
      <c r="J320" s="3" t="s">
        <v>1825</v>
      </c>
      <c r="K320" s="3">
        <v>611419700</v>
      </c>
      <c r="L320" s="3" t="s">
        <v>728</v>
      </c>
    </row>
    <row r="321" spans="1:12" x14ac:dyDescent="0.2">
      <c r="A321" s="1" t="s">
        <v>1826</v>
      </c>
      <c r="B321" s="2" t="str">
        <f>HYPERLINK("https://docket.philalegal.org/cgi-bin/proxy.pl?ct=161002032","161002032")</f>
        <v>161002032</v>
      </c>
      <c r="C321" s="3" t="s">
        <v>1827</v>
      </c>
      <c r="D321" s="3" t="s">
        <v>18</v>
      </c>
      <c r="E321" s="3" t="s">
        <v>35</v>
      </c>
      <c r="F321" s="3" t="s">
        <v>173</v>
      </c>
      <c r="G321" s="3" t="s">
        <v>3890</v>
      </c>
      <c r="H321" s="3" t="s">
        <v>1828</v>
      </c>
      <c r="I321" s="3" t="s">
        <v>1829</v>
      </c>
      <c r="J321" s="3" t="s">
        <v>1830</v>
      </c>
      <c r="K321" s="3">
        <v>301419400</v>
      </c>
      <c r="L321" s="3" t="s">
        <v>1831</v>
      </c>
    </row>
    <row r="322" spans="1:12" x14ac:dyDescent="0.2">
      <c r="A322" s="1" t="s">
        <v>1832</v>
      </c>
      <c r="B322" s="2" t="str">
        <f>HYPERLINK("https://docket.philalegal.org/cgi-bin/proxy.pl?ct=130502207","130502207")</f>
        <v>130502207</v>
      </c>
      <c r="C322" s="3" t="s">
        <v>1833</v>
      </c>
      <c r="D322" s="3" t="s">
        <v>13</v>
      </c>
      <c r="E322" s="3" t="s">
        <v>1834</v>
      </c>
      <c r="F322" s="3" t="s">
        <v>1835</v>
      </c>
      <c r="G322" s="3"/>
      <c r="H322" s="3" t="s">
        <v>1836</v>
      </c>
      <c r="I322" s="3" t="s">
        <v>1837</v>
      </c>
      <c r="J322" s="3" t="s">
        <v>1838</v>
      </c>
      <c r="K322" s="3">
        <v>222001300</v>
      </c>
      <c r="L322" s="3" t="s">
        <v>1839</v>
      </c>
    </row>
    <row r="323" spans="1:12" x14ac:dyDescent="0.2">
      <c r="A323" s="1" t="s">
        <v>1840</v>
      </c>
      <c r="B323" s="2" t="str">
        <f>HYPERLINK("https://docket.philalegal.org/cgi-bin/proxy.pl?ct=190703211","190703211")</f>
        <v>190703211</v>
      </c>
      <c r="C323" s="3" t="s">
        <v>185</v>
      </c>
      <c r="D323" s="3" t="s">
        <v>18</v>
      </c>
      <c r="E323" s="3" t="s">
        <v>187</v>
      </c>
      <c r="F323" s="3" t="s">
        <v>264</v>
      </c>
      <c r="G323" s="3" t="s">
        <v>3693</v>
      </c>
      <c r="H323" s="3" t="s">
        <v>1841</v>
      </c>
      <c r="I323" s="3"/>
      <c r="J323" s="3" t="s">
        <v>1842</v>
      </c>
      <c r="K323" s="3">
        <v>292053700</v>
      </c>
      <c r="L323" s="3" t="s">
        <v>267</v>
      </c>
    </row>
    <row r="324" spans="1:12" x14ac:dyDescent="0.2">
      <c r="A324" s="1" t="s">
        <v>1843</v>
      </c>
      <c r="B324" s="2" t="str">
        <f>HYPERLINK("https://docket.philalegal.org/cgi-bin/proxy.pl?ct=140101549","140101549")</f>
        <v>140101549</v>
      </c>
      <c r="C324" s="3" t="s">
        <v>1844</v>
      </c>
      <c r="D324" s="3" t="s">
        <v>166</v>
      </c>
      <c r="E324" s="3" t="s">
        <v>1845</v>
      </c>
      <c r="F324" s="3" t="s">
        <v>1846</v>
      </c>
      <c r="G324" s="3" t="s">
        <v>3891</v>
      </c>
      <c r="H324" s="3" t="s">
        <v>1847</v>
      </c>
      <c r="I324" s="3" t="s">
        <v>1222</v>
      </c>
      <c r="J324" s="3" t="s">
        <v>1848</v>
      </c>
      <c r="K324" s="3">
        <v>661242700</v>
      </c>
      <c r="L324" s="3" t="s">
        <v>1849</v>
      </c>
    </row>
    <row r="325" spans="1:12" x14ac:dyDescent="0.2">
      <c r="A325" s="1" t="s">
        <v>1850</v>
      </c>
      <c r="B325" s="2" t="str">
        <f>HYPERLINK("https://docket.philalegal.org/cgi-bin/proxy.pl?ct=221202173","221202173")</f>
        <v>221202173</v>
      </c>
      <c r="C325" s="3" t="s">
        <v>1851</v>
      </c>
      <c r="D325" s="3" t="s">
        <v>18</v>
      </c>
      <c r="E325" s="3" t="s">
        <v>35</v>
      </c>
      <c r="F325" s="3" t="s">
        <v>36</v>
      </c>
      <c r="G325" s="3" t="s">
        <v>3694</v>
      </c>
      <c r="H325" s="3" t="s">
        <v>1852</v>
      </c>
      <c r="I325" s="3"/>
      <c r="J325" s="3" t="s">
        <v>1853</v>
      </c>
      <c r="K325" s="3">
        <v>662058200</v>
      </c>
      <c r="L325" s="3" t="s">
        <v>183</v>
      </c>
    </row>
    <row r="326" spans="1:12" x14ac:dyDescent="0.2">
      <c r="A326" s="1" t="s">
        <v>1854</v>
      </c>
      <c r="B326" s="2" t="str">
        <f>HYPERLINK("https://docket.philalegal.org/cgi-bin/proxy.pl?ct=230701322","230701322")</f>
        <v>230701322</v>
      </c>
      <c r="C326" s="3" t="s">
        <v>1855</v>
      </c>
      <c r="D326" s="3" t="s">
        <v>208</v>
      </c>
      <c r="E326" s="3" t="s">
        <v>986</v>
      </c>
      <c r="F326" s="3" t="s">
        <v>44</v>
      </c>
      <c r="G326" s="3" t="s">
        <v>3892</v>
      </c>
      <c r="H326" s="3" t="s">
        <v>1856</v>
      </c>
      <c r="I326" s="3"/>
      <c r="J326" s="3" t="s">
        <v>1857</v>
      </c>
      <c r="K326" s="3">
        <v>133078000</v>
      </c>
      <c r="L326" s="3" t="s">
        <v>1858</v>
      </c>
    </row>
    <row r="327" spans="1:12" x14ac:dyDescent="0.2">
      <c r="A327" s="1" t="s">
        <v>1859</v>
      </c>
      <c r="B327" s="2" t="str">
        <f>HYPERLINK("https://docket.philalegal.org/cgi-bin/proxy.pl?ct=160402277","160402277")</f>
        <v>160402277</v>
      </c>
      <c r="C327" s="3" t="s">
        <v>1860</v>
      </c>
      <c r="D327" s="3" t="s">
        <v>13</v>
      </c>
      <c r="E327" s="3" t="s">
        <v>1149</v>
      </c>
      <c r="F327" s="3" t="s">
        <v>173</v>
      </c>
      <c r="G327" s="3" t="s">
        <v>1861</v>
      </c>
      <c r="H327" s="3" t="s">
        <v>1861</v>
      </c>
      <c r="I327" s="3" t="s">
        <v>1862</v>
      </c>
      <c r="J327" s="3" t="s">
        <v>1863</v>
      </c>
      <c r="K327" s="3">
        <v>365241900</v>
      </c>
      <c r="L327" s="3" t="s">
        <v>1864</v>
      </c>
    </row>
    <row r="328" spans="1:12" x14ac:dyDescent="0.2">
      <c r="A328" s="1" t="s">
        <v>1865</v>
      </c>
      <c r="B328" s="2" t="str">
        <f>HYPERLINK("https://docket.philalegal.org/cgi-bin/proxy.pl?ct=121003278","121003278")</f>
        <v>121003278</v>
      </c>
      <c r="C328" s="3" t="s">
        <v>1866</v>
      </c>
      <c r="D328" s="3" t="s">
        <v>18</v>
      </c>
      <c r="E328" s="3" t="s">
        <v>35</v>
      </c>
      <c r="F328" s="3" t="s">
        <v>36</v>
      </c>
      <c r="G328" s="3" t="s">
        <v>1867</v>
      </c>
      <c r="H328" s="3" t="s">
        <v>1867</v>
      </c>
      <c r="I328" s="3" t="s">
        <v>1868</v>
      </c>
      <c r="J328" s="3" t="s">
        <v>1869</v>
      </c>
      <c r="K328" s="3" t="s">
        <v>1870</v>
      </c>
      <c r="L328" s="3" t="s">
        <v>1871</v>
      </c>
    </row>
    <row r="329" spans="1:12" x14ac:dyDescent="0.2">
      <c r="A329" s="1" t="s">
        <v>1872</v>
      </c>
      <c r="B329" s="2" t="str">
        <f>HYPERLINK("https://docket.philalegal.org/cgi-bin/proxy.pl?ct=150301299","150301299")</f>
        <v>150301299</v>
      </c>
      <c r="C329" s="3" t="s">
        <v>1873</v>
      </c>
      <c r="D329" s="3" t="s">
        <v>18</v>
      </c>
      <c r="E329" s="3" t="s">
        <v>1874</v>
      </c>
      <c r="F329" s="3" t="s">
        <v>173</v>
      </c>
      <c r="G329" s="3" t="s">
        <v>1875</v>
      </c>
      <c r="H329" s="3" t="s">
        <v>1875</v>
      </c>
      <c r="I329" s="3" t="s">
        <v>1876</v>
      </c>
      <c r="J329" s="3" t="s">
        <v>1877</v>
      </c>
      <c r="K329" s="3" t="s">
        <v>1878</v>
      </c>
      <c r="L329" s="3" t="s">
        <v>1879</v>
      </c>
    </row>
    <row r="330" spans="1:12" x14ac:dyDescent="0.2">
      <c r="A330" s="1" t="s">
        <v>1880</v>
      </c>
      <c r="B330" s="2" t="str">
        <f>HYPERLINK("https://docket.philalegal.org/cgi-bin/proxy.pl?ct=210502940","210502940")</f>
        <v>210502940</v>
      </c>
      <c r="C330" s="3" t="s">
        <v>1881</v>
      </c>
      <c r="D330" s="3" t="s">
        <v>13</v>
      </c>
      <c r="E330" s="3" t="s">
        <v>35</v>
      </c>
      <c r="F330" s="3" t="s">
        <v>36</v>
      </c>
      <c r="G330" s="3" t="s">
        <v>3695</v>
      </c>
      <c r="H330" s="3" t="s">
        <v>1882</v>
      </c>
      <c r="I330" s="3" t="s">
        <v>1883</v>
      </c>
      <c r="J330" s="3" t="s">
        <v>1884</v>
      </c>
      <c r="K330" s="3" t="s">
        <v>1885</v>
      </c>
      <c r="L330" s="3" t="s">
        <v>1886</v>
      </c>
    </row>
    <row r="331" spans="1:12" x14ac:dyDescent="0.2">
      <c r="A331" s="1" t="s">
        <v>1887</v>
      </c>
      <c r="B331" s="2" t="str">
        <f>HYPERLINK("https://docket.philalegal.org/cgi-bin/proxy.pl?ct=190404474","190404474")</f>
        <v>190404474</v>
      </c>
      <c r="C331" s="3" t="s">
        <v>293</v>
      </c>
      <c r="D331" s="3" t="s">
        <v>18</v>
      </c>
      <c r="E331" s="3" t="s">
        <v>187</v>
      </c>
      <c r="F331" s="3" t="s">
        <v>210</v>
      </c>
      <c r="G331" s="3" t="s">
        <v>3893</v>
      </c>
      <c r="H331" s="3" t="s">
        <v>1888</v>
      </c>
      <c r="I331" s="3"/>
      <c r="J331" s="3" t="s">
        <v>1889</v>
      </c>
      <c r="K331" s="3">
        <v>364016400</v>
      </c>
      <c r="L331" s="3" t="s">
        <v>267</v>
      </c>
    </row>
    <row r="332" spans="1:12" x14ac:dyDescent="0.2">
      <c r="A332" s="1" t="s">
        <v>1890</v>
      </c>
      <c r="B332" s="2" t="str">
        <f>HYPERLINK("https://docket.philalegal.org/cgi-bin/proxy.pl?ct=200102588","200102588")</f>
        <v>200102588</v>
      </c>
      <c r="C332" s="3" t="s">
        <v>1891</v>
      </c>
      <c r="D332" s="3" t="s">
        <v>13</v>
      </c>
      <c r="E332" s="3" t="s">
        <v>35</v>
      </c>
      <c r="F332" s="3" t="s">
        <v>44</v>
      </c>
      <c r="G332" s="3" t="s">
        <v>1892</v>
      </c>
      <c r="H332" s="3" t="s">
        <v>1892</v>
      </c>
      <c r="I332" s="3"/>
      <c r="J332" s="3" t="s">
        <v>1893</v>
      </c>
      <c r="K332" s="3">
        <v>412444700</v>
      </c>
      <c r="L332" s="3" t="s">
        <v>1894</v>
      </c>
    </row>
    <row r="333" spans="1:12" x14ac:dyDescent="0.2">
      <c r="A333" s="1" t="s">
        <v>1895</v>
      </c>
      <c r="B333" s="2" t="str">
        <f>HYPERLINK("https://docket.philalegal.org/cgi-bin/proxy.pl?ct=160400301","160400301")</f>
        <v>160400301</v>
      </c>
      <c r="C333" s="3" t="s">
        <v>1896</v>
      </c>
      <c r="D333" s="3" t="s">
        <v>18</v>
      </c>
      <c r="E333" s="3" t="s">
        <v>1653</v>
      </c>
      <c r="F333" s="3" t="s">
        <v>173</v>
      </c>
      <c r="G333" s="3" t="s">
        <v>3894</v>
      </c>
      <c r="H333" s="3" t="s">
        <v>1897</v>
      </c>
      <c r="I333" s="3"/>
      <c r="J333" s="3" t="s">
        <v>1898</v>
      </c>
      <c r="K333" s="3">
        <v>151024100</v>
      </c>
      <c r="L333" s="3" t="s">
        <v>1899</v>
      </c>
    </row>
    <row r="334" spans="1:12" x14ac:dyDescent="0.2">
      <c r="A334" s="1" t="s">
        <v>1900</v>
      </c>
      <c r="B334" s="2" t="str">
        <f>HYPERLINK("https://docket.philalegal.org/cgi-bin/proxy.pl?ct=201101929","201101929")</f>
        <v>201101929</v>
      </c>
      <c r="C334" s="3" t="s">
        <v>1901</v>
      </c>
      <c r="D334" s="3" t="s">
        <v>216</v>
      </c>
      <c r="E334" s="3" t="s">
        <v>35</v>
      </c>
      <c r="F334" s="3" t="s">
        <v>36</v>
      </c>
      <c r="G334" s="3" t="s">
        <v>3895</v>
      </c>
      <c r="H334" s="3" t="s">
        <v>1902</v>
      </c>
      <c r="I334" s="3" t="s">
        <v>1903</v>
      </c>
      <c r="J334" s="3" t="s">
        <v>1904</v>
      </c>
      <c r="K334" s="3">
        <v>885125420</v>
      </c>
      <c r="L334" s="3" t="s">
        <v>1905</v>
      </c>
    </row>
    <row r="335" spans="1:12" x14ac:dyDescent="0.2">
      <c r="A335" s="1" t="s">
        <v>1906</v>
      </c>
      <c r="B335" s="2" t="str">
        <f>HYPERLINK("https://docket.philalegal.org/cgi-bin/proxy.pl?ct=230700476","230700476")</f>
        <v>230700476</v>
      </c>
      <c r="C335" s="3" t="s">
        <v>185</v>
      </c>
      <c r="D335" s="3" t="s">
        <v>208</v>
      </c>
      <c r="E335" s="3" t="s">
        <v>187</v>
      </c>
      <c r="F335" s="3" t="s">
        <v>210</v>
      </c>
      <c r="G335" s="3" t="s">
        <v>3696</v>
      </c>
      <c r="H335" s="3" t="s">
        <v>1907</v>
      </c>
      <c r="I335" s="3"/>
      <c r="J335" s="3" t="s">
        <v>1908</v>
      </c>
      <c r="K335" s="3">
        <v>604159400</v>
      </c>
      <c r="L335" s="3" t="s">
        <v>1909</v>
      </c>
    </row>
    <row r="336" spans="1:12" x14ac:dyDescent="0.2">
      <c r="A336" s="1" t="s">
        <v>1910</v>
      </c>
      <c r="B336" s="2" t="str">
        <f>HYPERLINK("https://docket.philalegal.org/cgi-bin/proxy.pl?ct=221101292","221101292")</f>
        <v>221101292</v>
      </c>
      <c r="C336" s="3" t="s">
        <v>1911</v>
      </c>
      <c r="D336" s="3" t="s">
        <v>18</v>
      </c>
      <c r="E336" s="3" t="s">
        <v>270</v>
      </c>
      <c r="F336" s="3" t="s">
        <v>210</v>
      </c>
      <c r="G336" s="3" t="s">
        <v>3697</v>
      </c>
      <c r="H336" s="3" t="s">
        <v>1912</v>
      </c>
      <c r="I336" s="3" t="s">
        <v>1913</v>
      </c>
      <c r="J336" s="3" t="s">
        <v>1914</v>
      </c>
      <c r="K336" s="3">
        <v>323117500</v>
      </c>
      <c r="L336" s="3" t="s">
        <v>1915</v>
      </c>
    </row>
    <row r="337" spans="1:12" x14ac:dyDescent="0.2">
      <c r="A337" s="1" t="s">
        <v>1916</v>
      </c>
      <c r="B337" s="2" t="str">
        <f>HYPERLINK("https://docket.philalegal.org/cgi-bin/proxy.pl?ct=220801457","220801457")</f>
        <v>220801457</v>
      </c>
      <c r="C337" s="3" t="s">
        <v>1917</v>
      </c>
      <c r="D337" s="3" t="s">
        <v>216</v>
      </c>
      <c r="E337" s="3" t="s">
        <v>35</v>
      </c>
      <c r="F337" s="3" t="s">
        <v>36</v>
      </c>
      <c r="G337" s="3" t="s">
        <v>3698</v>
      </c>
      <c r="H337" s="3" t="s">
        <v>1918</v>
      </c>
      <c r="I337" s="3" t="s">
        <v>1919</v>
      </c>
      <c r="J337" s="3" t="s">
        <v>1920</v>
      </c>
      <c r="K337" s="3">
        <v>871518560</v>
      </c>
      <c r="L337" s="3" t="s">
        <v>728</v>
      </c>
    </row>
    <row r="338" spans="1:12" x14ac:dyDescent="0.2">
      <c r="A338" s="1" t="s">
        <v>1921</v>
      </c>
      <c r="B338" s="2" t="str">
        <f>HYPERLINK("https://docket.philalegal.org/cgi-bin/proxy.pl?ct=221102413","221102413")</f>
        <v>221102413</v>
      </c>
      <c r="C338" s="3" t="s">
        <v>1922</v>
      </c>
      <c r="D338" s="3" t="s">
        <v>18</v>
      </c>
      <c r="E338" s="3" t="s">
        <v>35</v>
      </c>
      <c r="F338" s="3" t="s">
        <v>36</v>
      </c>
      <c r="G338" s="3" t="s">
        <v>1923</v>
      </c>
      <c r="H338" s="3" t="s">
        <v>1923</v>
      </c>
      <c r="I338" s="3" t="s">
        <v>1610</v>
      </c>
      <c r="J338" s="3" t="s">
        <v>914</v>
      </c>
      <c r="K338" s="3">
        <v>181415900</v>
      </c>
      <c r="L338" s="3" t="s">
        <v>183</v>
      </c>
    </row>
    <row r="339" spans="1:12" x14ac:dyDescent="0.2">
      <c r="A339" s="1" t="s">
        <v>1924</v>
      </c>
      <c r="B339" s="2" t="str">
        <f>HYPERLINK("https://docket.philalegal.org/cgi-bin/proxy.pl?ct=170102787","170102787")</f>
        <v>170102787</v>
      </c>
      <c r="C339" s="3" t="s">
        <v>1925</v>
      </c>
      <c r="D339" s="3" t="s">
        <v>18</v>
      </c>
      <c r="E339" s="3" t="s">
        <v>1926</v>
      </c>
      <c r="F339" s="3" t="s">
        <v>1927</v>
      </c>
      <c r="G339" s="3" t="s">
        <v>3699</v>
      </c>
      <c r="H339" s="3" t="s">
        <v>1928</v>
      </c>
      <c r="I339" s="3"/>
      <c r="J339" s="3" t="s">
        <v>1929</v>
      </c>
      <c r="K339" s="3">
        <v>361311700</v>
      </c>
      <c r="L339" s="3" t="s">
        <v>1930</v>
      </c>
    </row>
    <row r="340" spans="1:12" x14ac:dyDescent="0.2">
      <c r="A340" s="1" t="s">
        <v>1931</v>
      </c>
      <c r="B340" s="2" t="str">
        <f>HYPERLINK("https://docket.philalegal.org/cgi-bin/proxy.pl?ct=231100355","231100355")</f>
        <v>231100355</v>
      </c>
      <c r="C340" s="3" t="s">
        <v>185</v>
      </c>
      <c r="D340" s="3" t="s">
        <v>208</v>
      </c>
      <c r="E340" s="3" t="s">
        <v>187</v>
      </c>
      <c r="F340" s="3" t="s">
        <v>210</v>
      </c>
      <c r="G340" s="3" t="s">
        <v>3700</v>
      </c>
      <c r="H340" s="3" t="s">
        <v>1932</v>
      </c>
      <c r="I340" s="3"/>
      <c r="J340" s="3" t="s">
        <v>1933</v>
      </c>
      <c r="K340" s="3">
        <v>323121201</v>
      </c>
      <c r="L340" s="3" t="s">
        <v>1934</v>
      </c>
    </row>
    <row r="341" spans="1:12" x14ac:dyDescent="0.2">
      <c r="A341" s="1" t="s">
        <v>1935</v>
      </c>
      <c r="B341" s="2" t="str">
        <f>HYPERLINK("https://docket.philalegal.org/cgi-bin/proxy.pl?ct=211001070","211001070")</f>
        <v>211001070</v>
      </c>
      <c r="C341" s="3" t="s">
        <v>372</v>
      </c>
      <c r="D341" s="3" t="s">
        <v>332</v>
      </c>
      <c r="E341" s="3" t="s">
        <v>187</v>
      </c>
      <c r="F341" s="3" t="s">
        <v>1321</v>
      </c>
      <c r="G341" s="3"/>
      <c r="H341" s="3" t="s">
        <v>1936</v>
      </c>
      <c r="I341" s="3" t="s">
        <v>36</v>
      </c>
      <c r="J341" s="3" t="s">
        <v>1937</v>
      </c>
      <c r="K341" s="3">
        <v>124031700</v>
      </c>
      <c r="L341" s="3" t="s">
        <v>1938</v>
      </c>
    </row>
    <row r="342" spans="1:12" x14ac:dyDescent="0.2">
      <c r="A342" s="1" t="s">
        <v>1939</v>
      </c>
      <c r="B342" s="2" t="str">
        <f>HYPERLINK("https://docket.philalegal.org/cgi-bin/proxy.pl?ct=200601116","200601116")</f>
        <v>200601116</v>
      </c>
      <c r="C342" s="3" t="s">
        <v>293</v>
      </c>
      <c r="D342" s="3" t="s">
        <v>13</v>
      </c>
      <c r="E342" s="3" t="s">
        <v>187</v>
      </c>
      <c r="F342" s="3" t="s">
        <v>497</v>
      </c>
      <c r="G342" s="3" t="s">
        <v>1940</v>
      </c>
      <c r="H342" s="3" t="s">
        <v>1940</v>
      </c>
      <c r="I342" s="3"/>
      <c r="J342" s="3" t="s">
        <v>1941</v>
      </c>
      <c r="K342" s="3">
        <v>292202200</v>
      </c>
      <c r="L342" s="3" t="s">
        <v>1942</v>
      </c>
    </row>
    <row r="343" spans="1:12" x14ac:dyDescent="0.2">
      <c r="A343" s="1" t="s">
        <v>1943</v>
      </c>
      <c r="B343" s="2" t="str">
        <f>HYPERLINK("https://docket.philalegal.org/cgi-bin/proxy.pl?ct=220200350","220200350")</f>
        <v>220200350</v>
      </c>
      <c r="C343" s="3" t="s">
        <v>1944</v>
      </c>
      <c r="D343" s="3" t="s">
        <v>13</v>
      </c>
      <c r="E343" s="3" t="s">
        <v>1945</v>
      </c>
      <c r="F343" s="3"/>
      <c r="G343" s="3"/>
      <c r="H343" s="3" t="s">
        <v>1946</v>
      </c>
      <c r="I343" s="3" t="s">
        <v>1947</v>
      </c>
      <c r="J343" s="3" t="s">
        <v>1948</v>
      </c>
      <c r="K343" s="3">
        <v>885119504</v>
      </c>
      <c r="L343" s="3" t="s">
        <v>1949</v>
      </c>
    </row>
    <row r="344" spans="1:12" x14ac:dyDescent="0.2">
      <c r="A344" s="1" t="s">
        <v>1950</v>
      </c>
      <c r="B344" s="2" t="str">
        <f>HYPERLINK("https://docket.philalegal.org/cgi-bin/proxy.pl?ct=231102322","231102322")</f>
        <v>231102322</v>
      </c>
      <c r="C344" s="3" t="s">
        <v>1951</v>
      </c>
      <c r="D344" s="3" t="s">
        <v>208</v>
      </c>
      <c r="E344" s="3" t="s">
        <v>230</v>
      </c>
      <c r="F344" s="3" t="s">
        <v>36</v>
      </c>
      <c r="G344" s="3" t="s">
        <v>3701</v>
      </c>
      <c r="H344" s="3" t="s">
        <v>1952</v>
      </c>
      <c r="I344" s="3"/>
      <c r="J344" s="3" t="s">
        <v>1953</v>
      </c>
      <c r="K344" s="3" t="s">
        <v>1954</v>
      </c>
      <c r="L344" s="3" t="s">
        <v>1955</v>
      </c>
    </row>
    <row r="345" spans="1:12" x14ac:dyDescent="0.2">
      <c r="A345" s="1" t="s">
        <v>1956</v>
      </c>
      <c r="B345" s="2" t="str">
        <f>HYPERLINK("https://docket.philalegal.org/cgi-bin/proxy.pl?ct=231101366","231101366")</f>
        <v>231101366</v>
      </c>
      <c r="C345" s="3" t="s">
        <v>293</v>
      </c>
      <c r="D345" s="3" t="s">
        <v>208</v>
      </c>
      <c r="E345" s="3" t="s">
        <v>433</v>
      </c>
      <c r="F345" s="3" t="s">
        <v>210</v>
      </c>
      <c r="G345" s="3" t="s">
        <v>3702</v>
      </c>
      <c r="H345" s="3" t="s">
        <v>1957</v>
      </c>
      <c r="I345" s="3"/>
      <c r="J345" s="3" t="s">
        <v>1958</v>
      </c>
      <c r="K345" s="3">
        <v>292057900</v>
      </c>
      <c r="L345" s="3" t="s">
        <v>1959</v>
      </c>
    </row>
    <row r="346" spans="1:12" x14ac:dyDescent="0.2">
      <c r="A346" s="1" t="s">
        <v>1960</v>
      </c>
      <c r="B346" s="2" t="str">
        <f>HYPERLINK("https://docket.philalegal.org/cgi-bin/proxy.pl?ct=160301870","160301870")</f>
        <v>160301870</v>
      </c>
      <c r="C346" s="3" t="s">
        <v>1961</v>
      </c>
      <c r="D346" s="3" t="s">
        <v>13</v>
      </c>
      <c r="E346" s="3" t="s">
        <v>201</v>
      </c>
      <c r="F346" s="3" t="s">
        <v>710</v>
      </c>
      <c r="G346" s="3" t="s">
        <v>3896</v>
      </c>
      <c r="H346" s="3" t="s">
        <v>1962</v>
      </c>
      <c r="I346" s="3" t="s">
        <v>732</v>
      </c>
      <c r="J346" s="3" t="s">
        <v>1963</v>
      </c>
      <c r="K346" s="3">
        <v>292192100</v>
      </c>
      <c r="L346" s="3" t="s">
        <v>1964</v>
      </c>
    </row>
    <row r="347" spans="1:12" x14ac:dyDescent="0.2">
      <c r="A347" s="1" t="s">
        <v>1965</v>
      </c>
      <c r="B347" s="2" t="str">
        <f>HYPERLINK("https://docket.philalegal.org/cgi-bin/proxy.pl?ct=120301137","120301137")</f>
        <v>120301137</v>
      </c>
      <c r="C347" s="3" t="s">
        <v>1966</v>
      </c>
      <c r="D347" s="3" t="s">
        <v>64</v>
      </c>
      <c r="E347" s="3" t="s">
        <v>1967</v>
      </c>
      <c r="F347" s="3" t="s">
        <v>36</v>
      </c>
      <c r="G347" s="3" t="s">
        <v>3703</v>
      </c>
      <c r="H347" s="3" t="s">
        <v>1968</v>
      </c>
      <c r="I347" s="3" t="s">
        <v>1312</v>
      </c>
      <c r="J347" s="3" t="s">
        <v>1969</v>
      </c>
      <c r="K347" s="3" t="s">
        <v>1970</v>
      </c>
      <c r="L347" s="3" t="s">
        <v>1971</v>
      </c>
    </row>
    <row r="348" spans="1:12" x14ac:dyDescent="0.2">
      <c r="A348" s="1" t="s">
        <v>1972</v>
      </c>
      <c r="B348" s="2" t="str">
        <f>HYPERLINK("https://docket.philalegal.org/cgi-bin/proxy.pl?ct=190501326","190501326")</f>
        <v>190501326</v>
      </c>
      <c r="C348" s="3" t="s">
        <v>1973</v>
      </c>
      <c r="D348" s="3" t="s">
        <v>13</v>
      </c>
      <c r="E348" s="3" t="s">
        <v>35</v>
      </c>
      <c r="F348" s="3" t="s">
        <v>36</v>
      </c>
      <c r="G348" s="3" t="s">
        <v>3704</v>
      </c>
      <c r="H348" s="3" t="s">
        <v>1974</v>
      </c>
      <c r="I348" s="3"/>
      <c r="J348" s="3" t="s">
        <v>1692</v>
      </c>
      <c r="K348" s="3">
        <v>871195700</v>
      </c>
      <c r="L348" s="3" t="s">
        <v>1975</v>
      </c>
    </row>
    <row r="349" spans="1:12" x14ac:dyDescent="0.2">
      <c r="A349" s="1" t="s">
        <v>1976</v>
      </c>
      <c r="B349" s="2" t="str">
        <f>HYPERLINK("https://docket.philalegal.org/cgi-bin/proxy.pl?ct=150302642","150302642")</f>
        <v>150302642</v>
      </c>
      <c r="C349" s="3" t="s">
        <v>1977</v>
      </c>
      <c r="D349" s="3" t="s">
        <v>18</v>
      </c>
      <c r="E349" s="3" t="s">
        <v>35</v>
      </c>
      <c r="F349" s="3" t="s">
        <v>36</v>
      </c>
      <c r="G349" s="3" t="s">
        <v>1978</v>
      </c>
      <c r="H349" s="3" t="s">
        <v>1978</v>
      </c>
      <c r="I349" s="3" t="s">
        <v>168</v>
      </c>
      <c r="J349" s="3" t="s">
        <v>1979</v>
      </c>
      <c r="K349" s="3">
        <v>363170600</v>
      </c>
      <c r="L349" s="3" t="s">
        <v>1738</v>
      </c>
    </row>
    <row r="350" spans="1:12" x14ac:dyDescent="0.2">
      <c r="A350" s="1" t="s">
        <v>1980</v>
      </c>
      <c r="B350" s="2" t="str">
        <f>HYPERLINK("https://docket.philalegal.org/cgi-bin/proxy.pl?ct=211101394","211101394")</f>
        <v>211101394</v>
      </c>
      <c r="C350" s="3" t="s">
        <v>372</v>
      </c>
      <c r="D350" s="3" t="s">
        <v>208</v>
      </c>
      <c r="E350" s="3" t="s">
        <v>187</v>
      </c>
      <c r="F350" s="3" t="s">
        <v>1321</v>
      </c>
      <c r="G350" s="3"/>
      <c r="H350" s="3" t="s">
        <v>434</v>
      </c>
      <c r="I350" s="3" t="s">
        <v>1981</v>
      </c>
      <c r="J350" s="3" t="s">
        <v>1982</v>
      </c>
      <c r="K350" s="3">
        <v>322003701</v>
      </c>
      <c r="L350" s="3" t="s">
        <v>1983</v>
      </c>
    </row>
    <row r="351" spans="1:12" x14ac:dyDescent="0.2">
      <c r="A351" s="1" t="s">
        <v>1984</v>
      </c>
      <c r="B351" s="2" t="str">
        <f>HYPERLINK("https://docket.philalegal.org/cgi-bin/proxy.pl?ct=180202470","180202470")</f>
        <v>180202470</v>
      </c>
      <c r="C351" s="3" t="s">
        <v>704</v>
      </c>
      <c r="D351" s="3" t="s">
        <v>13</v>
      </c>
      <c r="E351" s="3" t="s">
        <v>187</v>
      </c>
      <c r="F351" s="3" t="s">
        <v>20</v>
      </c>
      <c r="G351" s="3" t="s">
        <v>3705</v>
      </c>
      <c r="H351" s="3" t="s">
        <v>1985</v>
      </c>
      <c r="I351" s="3" t="s">
        <v>1986</v>
      </c>
      <c r="J351" s="3" t="s">
        <v>1987</v>
      </c>
      <c r="K351" s="3">
        <v>313103700</v>
      </c>
      <c r="L351" s="3" t="s">
        <v>1988</v>
      </c>
    </row>
    <row r="352" spans="1:12" x14ac:dyDescent="0.2">
      <c r="A352" s="1" t="s">
        <v>1989</v>
      </c>
      <c r="B352" s="2" t="str">
        <f>HYPERLINK("https://docket.philalegal.org/cgi-bin/proxy.pl?ct=220102237","220102237")</f>
        <v>220102237</v>
      </c>
      <c r="C352" s="3" t="s">
        <v>1990</v>
      </c>
      <c r="D352" s="3" t="s">
        <v>18</v>
      </c>
      <c r="E352" s="3" t="s">
        <v>35</v>
      </c>
      <c r="F352" s="3" t="s">
        <v>36</v>
      </c>
      <c r="G352" s="3" t="s">
        <v>3706</v>
      </c>
      <c r="H352" s="3" t="s">
        <v>1991</v>
      </c>
      <c r="I352" s="3" t="s">
        <v>1992</v>
      </c>
      <c r="J352" s="3" t="s">
        <v>1993</v>
      </c>
      <c r="K352" s="3">
        <v>183044605</v>
      </c>
      <c r="L352" s="3" t="s">
        <v>183</v>
      </c>
    </row>
    <row r="353" spans="1:12" x14ac:dyDescent="0.2">
      <c r="A353" s="1" t="s">
        <v>1994</v>
      </c>
      <c r="B353" s="2" t="str">
        <f>HYPERLINK("https://docket.philalegal.org/cgi-bin/proxy.pl?ct=180602687","180602687")</f>
        <v>180602687</v>
      </c>
      <c r="C353" s="3" t="s">
        <v>1995</v>
      </c>
      <c r="D353" s="3" t="s">
        <v>13</v>
      </c>
      <c r="E353" s="3" t="s">
        <v>1996</v>
      </c>
      <c r="F353" s="3" t="s">
        <v>1997</v>
      </c>
      <c r="G353" s="3" t="s">
        <v>3707</v>
      </c>
      <c r="H353" s="3" t="s">
        <v>1998</v>
      </c>
      <c r="I353" s="3" t="s">
        <v>20</v>
      </c>
      <c r="J353" s="3" t="s">
        <v>1999</v>
      </c>
      <c r="K353" s="3">
        <v>192066800</v>
      </c>
      <c r="L353" s="3" t="s">
        <v>2000</v>
      </c>
    </row>
    <row r="354" spans="1:12" x14ac:dyDescent="0.2">
      <c r="A354" s="1" t="s">
        <v>2001</v>
      </c>
      <c r="B354" s="2" t="str">
        <f>HYPERLINK("https://docket.philalegal.org/cgi-bin/proxy.pl?ct=210302042","210302042")</f>
        <v>210302042</v>
      </c>
      <c r="C354" s="3" t="s">
        <v>2002</v>
      </c>
      <c r="D354" s="3" t="s">
        <v>13</v>
      </c>
      <c r="E354" s="3" t="s">
        <v>35</v>
      </c>
      <c r="F354" s="3" t="s">
        <v>36</v>
      </c>
      <c r="G354" s="3" t="s">
        <v>3708</v>
      </c>
      <c r="H354" s="3" t="s">
        <v>2003</v>
      </c>
      <c r="I354" s="3"/>
      <c r="J354" s="3" t="s">
        <v>2004</v>
      </c>
      <c r="K354" s="3">
        <v>213081301</v>
      </c>
      <c r="L354" s="3" t="s">
        <v>2005</v>
      </c>
    </row>
    <row r="355" spans="1:12" x14ac:dyDescent="0.2">
      <c r="A355" s="1" t="s">
        <v>2006</v>
      </c>
      <c r="B355" s="2" t="str">
        <f>HYPERLINK("https://docket.philalegal.org/cgi-bin/proxy.pl?ct=160402275","160402275")</f>
        <v>160402275</v>
      </c>
      <c r="C355" s="3" t="s">
        <v>2007</v>
      </c>
      <c r="D355" s="3" t="s">
        <v>13</v>
      </c>
      <c r="E355" s="3" t="s">
        <v>1149</v>
      </c>
      <c r="F355" s="3" t="s">
        <v>173</v>
      </c>
      <c r="G355" s="3" t="s">
        <v>3709</v>
      </c>
      <c r="H355" s="3" t="s">
        <v>2008</v>
      </c>
      <c r="I355" s="3" t="s">
        <v>2009</v>
      </c>
      <c r="J355" s="3" t="s">
        <v>2010</v>
      </c>
      <c r="K355" s="3">
        <v>365224900</v>
      </c>
      <c r="L355" s="3" t="s">
        <v>2011</v>
      </c>
    </row>
    <row r="356" spans="1:12" x14ac:dyDescent="0.2">
      <c r="A356" s="1" t="s">
        <v>2012</v>
      </c>
      <c r="B356" s="2" t="str">
        <f>HYPERLINK("https://docket.philalegal.org/cgi-bin/proxy.pl?ct=230600259","230600259")</f>
        <v>230600259</v>
      </c>
      <c r="C356" s="3" t="s">
        <v>2013</v>
      </c>
      <c r="D356" s="3" t="s">
        <v>186</v>
      </c>
      <c r="E356" s="3" t="s">
        <v>194</v>
      </c>
      <c r="F356" s="3" t="s">
        <v>20</v>
      </c>
      <c r="G356" s="3" t="s">
        <v>3710</v>
      </c>
      <c r="H356" s="3" t="s">
        <v>2014</v>
      </c>
      <c r="I356" s="3"/>
      <c r="J356" s="3" t="s">
        <v>2015</v>
      </c>
      <c r="K356" s="3">
        <v>242066900</v>
      </c>
      <c r="L356" s="3" t="s">
        <v>2016</v>
      </c>
    </row>
    <row r="357" spans="1:12" x14ac:dyDescent="0.2">
      <c r="A357" s="1" t="s">
        <v>2017</v>
      </c>
      <c r="B357" s="2" t="str">
        <f>HYPERLINK("https://docket.philalegal.org/cgi-bin/proxy.pl?ct=170901182","170901182")</f>
        <v>170901182</v>
      </c>
      <c r="C357" s="3" t="s">
        <v>2018</v>
      </c>
      <c r="D357" s="3" t="s">
        <v>18</v>
      </c>
      <c r="E357" s="3" t="s">
        <v>1332</v>
      </c>
      <c r="F357" s="3" t="s">
        <v>313</v>
      </c>
      <c r="G357" s="3" t="s">
        <v>2019</v>
      </c>
      <c r="H357" s="3" t="s">
        <v>2019</v>
      </c>
      <c r="I357" s="3" t="s">
        <v>2020</v>
      </c>
      <c r="J357" s="3" t="s">
        <v>2021</v>
      </c>
      <c r="K357" s="3">
        <v>192065500</v>
      </c>
      <c r="L357" s="3" t="s">
        <v>2022</v>
      </c>
    </row>
    <row r="358" spans="1:12" x14ac:dyDescent="0.2">
      <c r="A358" s="1" t="s">
        <v>2023</v>
      </c>
      <c r="B358" s="2" t="str">
        <f>HYPERLINK("https://docket.philalegal.org/cgi-bin/proxy.pl?ct=220900223","220900223")</f>
        <v>220900223</v>
      </c>
      <c r="C358" s="3" t="s">
        <v>185</v>
      </c>
      <c r="D358" s="3" t="s">
        <v>18</v>
      </c>
      <c r="E358" s="3" t="s">
        <v>187</v>
      </c>
      <c r="F358" s="3" t="s">
        <v>210</v>
      </c>
      <c r="G358" s="3" t="s">
        <v>3711</v>
      </c>
      <c r="H358" s="3" t="s">
        <v>2024</v>
      </c>
      <c r="I358" s="3"/>
      <c r="J358" s="3" t="s">
        <v>2025</v>
      </c>
      <c r="K358" s="3">
        <v>322140700</v>
      </c>
      <c r="L358" s="3" t="s">
        <v>267</v>
      </c>
    </row>
    <row r="359" spans="1:12" x14ac:dyDescent="0.2">
      <c r="A359" s="1" t="s">
        <v>2026</v>
      </c>
      <c r="B359" s="2" t="str">
        <f>HYPERLINK("https://docket.philalegal.org/cgi-bin/proxy.pl?ct=190902133","190902133")</f>
        <v>190902133</v>
      </c>
      <c r="C359" s="3" t="s">
        <v>2027</v>
      </c>
      <c r="D359" s="3" t="s">
        <v>88</v>
      </c>
      <c r="E359" s="3" t="s">
        <v>319</v>
      </c>
      <c r="F359" s="3" t="s">
        <v>2028</v>
      </c>
      <c r="G359" s="3" t="s">
        <v>3712</v>
      </c>
      <c r="H359" s="3" t="s">
        <v>2029</v>
      </c>
      <c r="I359" s="3"/>
      <c r="J359" s="3" t="s">
        <v>2030</v>
      </c>
      <c r="K359" s="3">
        <v>462148700</v>
      </c>
      <c r="L359" s="3" t="s">
        <v>2031</v>
      </c>
    </row>
    <row r="360" spans="1:12" x14ac:dyDescent="0.2">
      <c r="A360" s="1" t="s">
        <v>2032</v>
      </c>
      <c r="B360" s="2" t="str">
        <f>HYPERLINK("https://docket.philalegal.org/cgi-bin/proxy.pl?ct=121201370","121201370")</f>
        <v>121201370</v>
      </c>
      <c r="C360" s="3" t="s">
        <v>2033</v>
      </c>
      <c r="D360" s="3" t="s">
        <v>18</v>
      </c>
      <c r="E360" s="3" t="s">
        <v>35</v>
      </c>
      <c r="F360" s="3" t="s">
        <v>36</v>
      </c>
      <c r="G360" s="3" t="s">
        <v>3713</v>
      </c>
      <c r="H360" s="3" t="s">
        <v>2034</v>
      </c>
      <c r="I360" s="3" t="s">
        <v>1829</v>
      </c>
      <c r="J360" s="3" t="s">
        <v>2035</v>
      </c>
      <c r="K360" s="3" t="s">
        <v>2036</v>
      </c>
      <c r="L360" s="3" t="s">
        <v>1738</v>
      </c>
    </row>
    <row r="361" spans="1:12" x14ac:dyDescent="0.2">
      <c r="A361" s="1" t="s">
        <v>2037</v>
      </c>
      <c r="B361" s="2" t="str">
        <f>HYPERLINK("https://docket.philalegal.org/cgi-bin/proxy.pl?ct=220400258","220400258")</f>
        <v>220400258</v>
      </c>
      <c r="C361" s="3" t="s">
        <v>2038</v>
      </c>
      <c r="D361" s="3" t="s">
        <v>88</v>
      </c>
      <c r="E361" s="3" t="s">
        <v>305</v>
      </c>
      <c r="F361" s="3" t="s">
        <v>210</v>
      </c>
      <c r="G361" s="3" t="s">
        <v>3714</v>
      </c>
      <c r="H361" s="3" t="s">
        <v>2039</v>
      </c>
      <c r="I361" s="3"/>
      <c r="J361" s="3" t="s">
        <v>2040</v>
      </c>
      <c r="K361" s="3">
        <v>322219800</v>
      </c>
      <c r="L361" s="3" t="s">
        <v>2041</v>
      </c>
    </row>
    <row r="362" spans="1:12" x14ac:dyDescent="0.2">
      <c r="A362" s="1" t="s">
        <v>2042</v>
      </c>
      <c r="B362" s="2" t="str">
        <f>HYPERLINK("https://docket.philalegal.org/cgi-bin/proxy.pl?ct=220702671","220702671")</f>
        <v>220702671</v>
      </c>
      <c r="C362" s="3" t="s">
        <v>2043</v>
      </c>
      <c r="D362" s="3" t="s">
        <v>186</v>
      </c>
      <c r="E362" s="3" t="s">
        <v>194</v>
      </c>
      <c r="F362" s="3" t="s">
        <v>195</v>
      </c>
      <c r="G362" s="3"/>
      <c r="H362" s="3" t="s">
        <v>2044</v>
      </c>
      <c r="I362" s="3" t="s">
        <v>998</v>
      </c>
      <c r="J362" s="3" t="s">
        <v>2045</v>
      </c>
      <c r="K362" s="3">
        <v>361033205</v>
      </c>
      <c r="L362" s="3" t="s">
        <v>2046</v>
      </c>
    </row>
    <row r="363" spans="1:12" x14ac:dyDescent="0.2">
      <c r="A363" s="1" t="s">
        <v>2047</v>
      </c>
      <c r="B363" s="2" t="str">
        <f>HYPERLINK("https://docket.philalegal.org/cgi-bin/proxy.pl?ct=230901476","230901476")</f>
        <v>230901476</v>
      </c>
      <c r="C363" s="3" t="s">
        <v>2048</v>
      </c>
      <c r="D363" s="3" t="s">
        <v>208</v>
      </c>
      <c r="E363" s="3" t="s">
        <v>35</v>
      </c>
      <c r="F363" s="3" t="s">
        <v>44</v>
      </c>
      <c r="G363" s="3"/>
      <c r="H363" s="3" t="s">
        <v>2049</v>
      </c>
      <c r="I363" s="3"/>
      <c r="J363" s="3" t="s">
        <v>2050</v>
      </c>
      <c r="K363" s="3">
        <v>776670501</v>
      </c>
      <c r="L363" s="3" t="s">
        <v>2051</v>
      </c>
    </row>
    <row r="364" spans="1:12" x14ac:dyDescent="0.2">
      <c r="A364" s="1" t="s">
        <v>2052</v>
      </c>
      <c r="B364" s="2" t="str">
        <f>HYPERLINK("https://docket.philalegal.org/cgi-bin/proxy.pl?ct=151000310","151000310")</f>
        <v>151000310</v>
      </c>
      <c r="C364" s="3" t="s">
        <v>520</v>
      </c>
      <c r="D364" s="3" t="s">
        <v>18</v>
      </c>
      <c r="E364" s="3" t="s">
        <v>2053</v>
      </c>
      <c r="F364" s="3" t="s">
        <v>36</v>
      </c>
      <c r="G364" s="3" t="s">
        <v>3866</v>
      </c>
      <c r="H364" s="3" t="s">
        <v>522</v>
      </c>
      <c r="I364" s="3" t="s">
        <v>2054</v>
      </c>
      <c r="J364" s="3" t="s">
        <v>523</v>
      </c>
      <c r="K364" s="3">
        <v>112001600</v>
      </c>
      <c r="L364" s="3" t="s">
        <v>2055</v>
      </c>
    </row>
    <row r="365" spans="1:12" x14ac:dyDescent="0.2">
      <c r="A365" s="1" t="s">
        <v>2056</v>
      </c>
      <c r="B365" s="2" t="str">
        <f>HYPERLINK("https://docket.philalegal.org/cgi-bin/proxy.pl?ct=220901407","220901407")</f>
        <v>220901407</v>
      </c>
      <c r="C365" s="3" t="s">
        <v>2057</v>
      </c>
      <c r="D365" s="3" t="s">
        <v>18</v>
      </c>
      <c r="E365" s="3" t="s">
        <v>2058</v>
      </c>
      <c r="F365" s="3" t="s">
        <v>2059</v>
      </c>
      <c r="G365" s="3"/>
      <c r="H365" s="3" t="s">
        <v>2060</v>
      </c>
      <c r="I365" s="3"/>
      <c r="J365" s="3" t="s">
        <v>2061</v>
      </c>
      <c r="K365" s="3">
        <v>592196100</v>
      </c>
      <c r="L365" s="3" t="s">
        <v>2062</v>
      </c>
    </row>
    <row r="366" spans="1:12" x14ac:dyDescent="0.2">
      <c r="A366" s="1" t="s">
        <v>2063</v>
      </c>
      <c r="B366" s="2" t="str">
        <f>HYPERLINK("https://docket.philalegal.org/cgi-bin/proxy.pl?ct=161203036","161203036")</f>
        <v>161203036</v>
      </c>
      <c r="C366" s="3" t="s">
        <v>2064</v>
      </c>
      <c r="D366" s="3" t="s">
        <v>18</v>
      </c>
      <c r="E366" s="3" t="s">
        <v>2065</v>
      </c>
      <c r="F366" s="3" t="s">
        <v>173</v>
      </c>
      <c r="G366" s="3"/>
      <c r="H366" s="3" t="s">
        <v>2066</v>
      </c>
      <c r="I366" s="3" t="s">
        <v>2067</v>
      </c>
      <c r="J366" s="3" t="s">
        <v>2068</v>
      </c>
      <c r="K366" s="3">
        <v>183105600</v>
      </c>
      <c r="L366" s="3" t="s">
        <v>2069</v>
      </c>
    </row>
    <row r="367" spans="1:12" x14ac:dyDescent="0.2">
      <c r="A367" s="1" t="s">
        <v>2070</v>
      </c>
      <c r="B367" s="2" t="str">
        <f>HYPERLINK("https://docket.philalegal.org/cgi-bin/proxy.pl?ct=230502110","230502110")</f>
        <v>230502110</v>
      </c>
      <c r="C367" s="3" t="s">
        <v>185</v>
      </c>
      <c r="D367" s="3" t="s">
        <v>208</v>
      </c>
      <c r="E367" s="3" t="s">
        <v>187</v>
      </c>
      <c r="F367" s="3" t="s">
        <v>188</v>
      </c>
      <c r="G367" s="3" t="s">
        <v>3715</v>
      </c>
      <c r="H367" s="3" t="s">
        <v>2071</v>
      </c>
      <c r="I367" s="3"/>
      <c r="J367" s="3" t="s">
        <v>2072</v>
      </c>
      <c r="K367" s="3">
        <v>122070500</v>
      </c>
      <c r="L367" s="3" t="s">
        <v>2073</v>
      </c>
    </row>
    <row r="368" spans="1:12" x14ac:dyDescent="0.2">
      <c r="A368" s="1" t="s">
        <v>2074</v>
      </c>
      <c r="B368" s="2" t="str">
        <f>HYPERLINK("https://docket.philalegal.org/cgi-bin/proxy.pl?ct=210601687","210601687")</f>
        <v>210601687</v>
      </c>
      <c r="C368" s="3" t="s">
        <v>2075</v>
      </c>
      <c r="D368" s="3" t="s">
        <v>18</v>
      </c>
      <c r="E368" s="3" t="s">
        <v>2076</v>
      </c>
      <c r="F368" s="3" t="s">
        <v>36</v>
      </c>
      <c r="G368" s="3" t="s">
        <v>3716</v>
      </c>
      <c r="H368" s="3" t="s">
        <v>2077</v>
      </c>
      <c r="I368" s="3" t="s">
        <v>2078</v>
      </c>
      <c r="J368" s="3" t="s">
        <v>2079</v>
      </c>
      <c r="K368" s="3">
        <v>511000500</v>
      </c>
      <c r="L368" s="3" t="s">
        <v>2080</v>
      </c>
    </row>
    <row r="369" spans="1:12" x14ac:dyDescent="0.2">
      <c r="A369" s="1" t="s">
        <v>2081</v>
      </c>
      <c r="B369" s="2" t="str">
        <f>HYPERLINK("https://docket.philalegal.org/cgi-bin/proxy.pl?ct=200300343","200300343")</f>
        <v>200300343</v>
      </c>
      <c r="C369" s="3" t="s">
        <v>185</v>
      </c>
      <c r="D369" s="3" t="s">
        <v>79</v>
      </c>
      <c r="E369" s="3" t="s">
        <v>187</v>
      </c>
      <c r="F369" s="3" t="s">
        <v>210</v>
      </c>
      <c r="G369" s="3" t="s">
        <v>2082</v>
      </c>
      <c r="H369" s="3" t="s">
        <v>2082</v>
      </c>
      <c r="I369" s="3" t="s">
        <v>925</v>
      </c>
      <c r="J369" s="3" t="s">
        <v>2083</v>
      </c>
      <c r="K369" s="3">
        <v>282267700</v>
      </c>
      <c r="L369" s="3" t="s">
        <v>1085</v>
      </c>
    </row>
    <row r="370" spans="1:12" x14ac:dyDescent="0.2">
      <c r="A370" s="1" t="s">
        <v>2084</v>
      </c>
      <c r="B370" s="2" t="str">
        <f>HYPERLINK("https://docket.philalegal.org/cgi-bin/proxy.pl?ct=231102106","231102106")</f>
        <v>231102106</v>
      </c>
      <c r="C370" s="3" t="s">
        <v>2085</v>
      </c>
      <c r="D370" s="3" t="s">
        <v>208</v>
      </c>
      <c r="E370" s="3" t="s">
        <v>1036</v>
      </c>
      <c r="F370" s="3"/>
      <c r="G370" s="3"/>
      <c r="H370" s="3" t="s">
        <v>2086</v>
      </c>
      <c r="I370" s="3"/>
      <c r="J370" s="3" t="s">
        <v>2087</v>
      </c>
      <c r="K370" s="3">
        <v>242156100</v>
      </c>
      <c r="L370" s="3" t="s">
        <v>2088</v>
      </c>
    </row>
    <row r="371" spans="1:12" x14ac:dyDescent="0.2">
      <c r="A371" s="1" t="s">
        <v>2089</v>
      </c>
      <c r="B371" s="2" t="str">
        <f>HYPERLINK("https://docket.philalegal.org/cgi-bin/proxy.pl?ct=221101276","221101276")</f>
        <v>221101276</v>
      </c>
      <c r="C371" s="3" t="s">
        <v>2090</v>
      </c>
      <c r="D371" s="3" t="s">
        <v>88</v>
      </c>
      <c r="E371" s="3" t="s">
        <v>270</v>
      </c>
      <c r="F371" s="3" t="s">
        <v>1272</v>
      </c>
      <c r="G371" s="3" t="s">
        <v>2091</v>
      </c>
      <c r="H371" s="3" t="s">
        <v>2091</v>
      </c>
      <c r="I371" s="3"/>
      <c r="J371" s="3" t="s">
        <v>2092</v>
      </c>
      <c r="K371" s="3">
        <v>152273400</v>
      </c>
      <c r="L371" s="3" t="s">
        <v>2093</v>
      </c>
    </row>
    <row r="372" spans="1:12" x14ac:dyDescent="0.2">
      <c r="A372" s="1" t="s">
        <v>2094</v>
      </c>
      <c r="B372" s="2" t="str">
        <f>HYPERLINK("https://docket.philalegal.org/cgi-bin/proxy.pl?ct=201102204","201102204")</f>
        <v>201102204</v>
      </c>
      <c r="C372" s="3" t="s">
        <v>293</v>
      </c>
      <c r="D372" s="3" t="s">
        <v>18</v>
      </c>
      <c r="E372" s="3" t="s">
        <v>187</v>
      </c>
      <c r="F372" s="3" t="s">
        <v>210</v>
      </c>
      <c r="G372" s="3" t="s">
        <v>3717</v>
      </c>
      <c r="H372" s="3" t="s">
        <v>2095</v>
      </c>
      <c r="I372" s="3" t="s">
        <v>1883</v>
      </c>
      <c r="J372" s="3" t="s">
        <v>2096</v>
      </c>
      <c r="K372" s="3" t="s">
        <v>2097</v>
      </c>
      <c r="L372" s="3" t="s">
        <v>267</v>
      </c>
    </row>
    <row r="373" spans="1:12" x14ac:dyDescent="0.2">
      <c r="A373" s="1" t="s">
        <v>2098</v>
      </c>
      <c r="B373" s="2" t="str">
        <f>HYPERLINK("https://docket.philalegal.org/cgi-bin/proxy.pl?ct=150501720","150501720")</f>
        <v>150501720</v>
      </c>
      <c r="C373" s="3" t="s">
        <v>2099</v>
      </c>
      <c r="D373" s="3" t="s">
        <v>18</v>
      </c>
      <c r="E373" s="3" t="s">
        <v>35</v>
      </c>
      <c r="F373" s="3" t="s">
        <v>36</v>
      </c>
      <c r="G373" s="3" t="s">
        <v>2100</v>
      </c>
      <c r="H373" s="3" t="s">
        <v>2100</v>
      </c>
      <c r="I373" s="3" t="s">
        <v>2101</v>
      </c>
      <c r="J373" s="3" t="s">
        <v>2102</v>
      </c>
      <c r="K373" s="3" t="s">
        <v>2103</v>
      </c>
      <c r="L373" s="3" t="s">
        <v>2104</v>
      </c>
    </row>
    <row r="374" spans="1:12" x14ac:dyDescent="0.2">
      <c r="A374" s="1" t="s">
        <v>2105</v>
      </c>
      <c r="B374" s="2" t="str">
        <f>HYPERLINK("https://docket.philalegal.org/cgi-bin/proxy.pl?ct=130702252","130702252")</f>
        <v>130702252</v>
      </c>
      <c r="C374" s="3" t="s">
        <v>2106</v>
      </c>
      <c r="D374" s="3" t="s">
        <v>18</v>
      </c>
      <c r="E374" s="3" t="s">
        <v>35</v>
      </c>
      <c r="F374" s="3" t="s">
        <v>2107</v>
      </c>
      <c r="G374" s="3" t="s">
        <v>2108</v>
      </c>
      <c r="H374" s="3" t="s">
        <v>2108</v>
      </c>
      <c r="I374" s="3"/>
      <c r="J374" s="3" t="s">
        <v>2109</v>
      </c>
      <c r="K374" s="3">
        <v>361059600</v>
      </c>
      <c r="L374" s="3" t="s">
        <v>2110</v>
      </c>
    </row>
    <row r="375" spans="1:12" x14ac:dyDescent="0.2">
      <c r="A375" s="1" t="s">
        <v>2111</v>
      </c>
      <c r="B375" s="2" t="str">
        <f>HYPERLINK("https://docket.philalegal.org/cgi-bin/proxy.pl?ct=170300302","170300302")</f>
        <v>170300302</v>
      </c>
      <c r="C375" s="3" t="s">
        <v>2112</v>
      </c>
      <c r="D375" s="3" t="s">
        <v>13</v>
      </c>
      <c r="E375" s="3" t="s">
        <v>2113</v>
      </c>
      <c r="F375" s="3" t="s">
        <v>20</v>
      </c>
      <c r="G375" s="3" t="s">
        <v>3718</v>
      </c>
      <c r="H375" s="3" t="s">
        <v>2114</v>
      </c>
      <c r="I375" s="3"/>
      <c r="J375" s="3" t="s">
        <v>2115</v>
      </c>
      <c r="K375" s="3">
        <v>123217300</v>
      </c>
      <c r="L375" s="3" t="s">
        <v>2116</v>
      </c>
    </row>
    <row r="376" spans="1:12" x14ac:dyDescent="0.2">
      <c r="A376" s="1" t="s">
        <v>2117</v>
      </c>
      <c r="B376" s="2" t="str">
        <f>HYPERLINK("https://docket.philalegal.org/cgi-bin/proxy.pl?ct=170603318","170603318")</f>
        <v>170603318</v>
      </c>
      <c r="C376" s="3" t="s">
        <v>2118</v>
      </c>
      <c r="D376" s="3" t="s">
        <v>208</v>
      </c>
      <c r="E376" s="3" t="s">
        <v>2119</v>
      </c>
      <c r="F376" s="3" t="s">
        <v>173</v>
      </c>
      <c r="G376" s="3" t="s">
        <v>3903</v>
      </c>
      <c r="H376" s="3" t="s">
        <v>2120</v>
      </c>
      <c r="I376" s="3" t="s">
        <v>2121</v>
      </c>
      <c r="J376" s="3" t="s">
        <v>2122</v>
      </c>
      <c r="K376" s="3">
        <v>193196000</v>
      </c>
      <c r="L376" s="3" t="s">
        <v>2123</v>
      </c>
    </row>
    <row r="377" spans="1:12" x14ac:dyDescent="0.2">
      <c r="A377" s="1" t="s">
        <v>2124</v>
      </c>
      <c r="B377" s="2" t="str">
        <f>HYPERLINK("https://docket.philalegal.org/cgi-bin/proxy.pl?ct=180902611","180902611")</f>
        <v>180902611</v>
      </c>
      <c r="C377" s="3" t="s">
        <v>2125</v>
      </c>
      <c r="D377" s="3" t="s">
        <v>13</v>
      </c>
      <c r="E377" s="3" t="s">
        <v>319</v>
      </c>
      <c r="F377" s="3" t="s">
        <v>405</v>
      </c>
      <c r="G377" s="3" t="s">
        <v>3720</v>
      </c>
      <c r="H377" s="3" t="s">
        <v>2126</v>
      </c>
      <c r="I377" s="3" t="s">
        <v>2127</v>
      </c>
      <c r="J377" s="3" t="s">
        <v>2128</v>
      </c>
      <c r="K377" s="3">
        <v>292080300</v>
      </c>
      <c r="L377" s="3" t="s">
        <v>2129</v>
      </c>
    </row>
    <row r="378" spans="1:12" x14ac:dyDescent="0.2">
      <c r="A378" s="1" t="s">
        <v>2130</v>
      </c>
      <c r="B378" s="2" t="str">
        <f>HYPERLINK("https://docket.philalegal.org/cgi-bin/proxy.pl?ct=121101434","121101434")</f>
        <v>121101434</v>
      </c>
      <c r="C378" s="3" t="s">
        <v>2131</v>
      </c>
      <c r="D378" s="3" t="s">
        <v>13</v>
      </c>
      <c r="E378" s="3" t="s">
        <v>35</v>
      </c>
      <c r="F378" s="3" t="s">
        <v>36</v>
      </c>
      <c r="G378" s="3"/>
      <c r="H378" s="3" t="s">
        <v>2132</v>
      </c>
      <c r="I378" s="3" t="s">
        <v>2133</v>
      </c>
      <c r="J378" s="3" t="s">
        <v>176</v>
      </c>
      <c r="K378" s="3">
        <v>301189200</v>
      </c>
      <c r="L378" s="3" t="s">
        <v>2134</v>
      </c>
    </row>
    <row r="379" spans="1:12" x14ac:dyDescent="0.2">
      <c r="A379" s="1" t="s">
        <v>2135</v>
      </c>
      <c r="B379" s="2" t="str">
        <f>HYPERLINK("https://docket.philalegal.org/cgi-bin/proxy.pl?ct=170502405","170502405")</f>
        <v>170502405</v>
      </c>
      <c r="C379" s="3" t="s">
        <v>185</v>
      </c>
      <c r="D379" s="3" t="s">
        <v>88</v>
      </c>
      <c r="E379" s="3" t="s">
        <v>187</v>
      </c>
      <c r="F379" s="3" t="s">
        <v>210</v>
      </c>
      <c r="G379" s="3" t="s">
        <v>3721</v>
      </c>
      <c r="H379" s="3" t="s">
        <v>2136</v>
      </c>
      <c r="I379" s="3"/>
      <c r="J379" s="3" t="s">
        <v>2137</v>
      </c>
      <c r="K379" s="3" t="s">
        <v>2138</v>
      </c>
      <c r="L379" s="3" t="s">
        <v>2139</v>
      </c>
    </row>
    <row r="380" spans="1:12" x14ac:dyDescent="0.2">
      <c r="A380" s="1" t="s">
        <v>2140</v>
      </c>
      <c r="B380" s="2" t="str">
        <f>HYPERLINK("https://docket.philalegal.org/cgi-bin/proxy.pl?ct=160603837","160603837")</f>
        <v>160603837</v>
      </c>
      <c r="C380" s="3" t="s">
        <v>1277</v>
      </c>
      <c r="D380" s="3" t="s">
        <v>88</v>
      </c>
      <c r="E380" s="3" t="s">
        <v>35</v>
      </c>
      <c r="F380" s="3" t="s">
        <v>173</v>
      </c>
      <c r="G380" s="3" t="s">
        <v>1278</v>
      </c>
      <c r="H380" s="3" t="s">
        <v>2141</v>
      </c>
      <c r="I380" s="3" t="s">
        <v>1279</v>
      </c>
      <c r="J380" s="3" t="s">
        <v>1280</v>
      </c>
      <c r="K380" s="3" t="s">
        <v>1281</v>
      </c>
      <c r="L380" s="3" t="s">
        <v>2142</v>
      </c>
    </row>
    <row r="381" spans="1:12" x14ac:dyDescent="0.2">
      <c r="A381" s="1" t="s">
        <v>2143</v>
      </c>
      <c r="B381" s="2" t="str">
        <f>HYPERLINK("https://docket.philalegal.org/cgi-bin/proxy.pl?ct=171102364","171102364")</f>
        <v>171102364</v>
      </c>
      <c r="C381" s="3" t="s">
        <v>2144</v>
      </c>
      <c r="D381" s="3" t="s">
        <v>13</v>
      </c>
      <c r="E381" s="3" t="s">
        <v>230</v>
      </c>
      <c r="F381" s="3" t="s">
        <v>2145</v>
      </c>
      <c r="G381" s="3" t="s">
        <v>3722</v>
      </c>
      <c r="H381" s="3" t="s">
        <v>2146</v>
      </c>
      <c r="I381" s="3" t="s">
        <v>2147</v>
      </c>
      <c r="J381" s="3" t="s">
        <v>2148</v>
      </c>
      <c r="K381" s="3">
        <v>292068300</v>
      </c>
      <c r="L381" s="3" t="s">
        <v>2149</v>
      </c>
    </row>
    <row r="382" spans="1:12" x14ac:dyDescent="0.2">
      <c r="A382" s="1" t="s">
        <v>2150</v>
      </c>
      <c r="B382" s="2" t="str">
        <f>HYPERLINK("https://docket.philalegal.org/cgi-bin/proxy.pl?ct=131202811","131202811")</f>
        <v>131202811</v>
      </c>
      <c r="C382" s="3" t="s">
        <v>2151</v>
      </c>
      <c r="D382" s="3" t="s">
        <v>18</v>
      </c>
      <c r="E382" s="3" t="s">
        <v>2152</v>
      </c>
      <c r="F382" s="3" t="s">
        <v>36</v>
      </c>
      <c r="G382" s="3" t="s">
        <v>3723</v>
      </c>
      <c r="H382" s="3" t="s">
        <v>2153</v>
      </c>
      <c r="I382" s="3" t="s">
        <v>1222</v>
      </c>
      <c r="J382" s="3" t="s">
        <v>2154</v>
      </c>
      <c r="K382" s="3">
        <v>314118900</v>
      </c>
      <c r="L382" s="3" t="s">
        <v>2155</v>
      </c>
    </row>
    <row r="383" spans="1:12" x14ac:dyDescent="0.2">
      <c r="A383" s="1" t="s">
        <v>2156</v>
      </c>
      <c r="B383" s="2" t="str">
        <f>HYPERLINK("https://docket.philalegal.org/cgi-bin/proxy.pl?ct=161000706","161000706")</f>
        <v>161000706</v>
      </c>
      <c r="C383" s="3" t="s">
        <v>2157</v>
      </c>
      <c r="D383" s="3" t="s">
        <v>18</v>
      </c>
      <c r="E383" s="3" t="s">
        <v>2158</v>
      </c>
      <c r="F383" s="3" t="s">
        <v>20</v>
      </c>
      <c r="G383" s="3" t="s">
        <v>3724</v>
      </c>
      <c r="H383" s="3" t="s">
        <v>2159</v>
      </c>
      <c r="I383" s="3"/>
      <c r="J383" s="3" t="s">
        <v>2160</v>
      </c>
      <c r="K383" s="3">
        <v>213262500</v>
      </c>
      <c r="L383" s="3" t="s">
        <v>2161</v>
      </c>
    </row>
    <row r="384" spans="1:12" x14ac:dyDescent="0.2">
      <c r="A384" s="1" t="s">
        <v>2162</v>
      </c>
      <c r="B384" s="2" t="str">
        <f>HYPERLINK("https://docket.philalegal.org/cgi-bin/proxy.pl?ct=160201599","160201599")</f>
        <v>160201599</v>
      </c>
      <c r="C384" s="3" t="s">
        <v>2163</v>
      </c>
      <c r="D384" s="3" t="s">
        <v>13</v>
      </c>
      <c r="E384" s="3" t="s">
        <v>2164</v>
      </c>
      <c r="F384" s="3" t="s">
        <v>173</v>
      </c>
      <c r="G384" s="3"/>
      <c r="H384" s="3" t="s">
        <v>2165</v>
      </c>
      <c r="I384" s="3" t="s">
        <v>20</v>
      </c>
      <c r="J384" s="3" t="s">
        <v>2166</v>
      </c>
      <c r="K384" s="3">
        <v>871167750</v>
      </c>
      <c r="L384" s="3" t="s">
        <v>2167</v>
      </c>
    </row>
    <row r="385" spans="1:12" x14ac:dyDescent="0.2">
      <c r="A385" s="1" t="s">
        <v>2168</v>
      </c>
      <c r="B385" s="2" t="str">
        <f>HYPERLINK("https://docket.philalegal.org/cgi-bin/proxy.pl?ct=230103105","230103105")</f>
        <v>230103105</v>
      </c>
      <c r="C385" s="3" t="s">
        <v>2169</v>
      </c>
      <c r="D385" s="3" t="s">
        <v>216</v>
      </c>
      <c r="E385" s="3" t="s">
        <v>35</v>
      </c>
      <c r="F385" s="3" t="s">
        <v>36</v>
      </c>
      <c r="G385" s="3" t="s">
        <v>3725</v>
      </c>
      <c r="H385" s="3" t="s">
        <v>2170</v>
      </c>
      <c r="I385" s="3"/>
      <c r="J385" s="3" t="s">
        <v>2171</v>
      </c>
      <c r="K385" s="3">
        <v>324070800</v>
      </c>
      <c r="L385" s="3" t="s">
        <v>2172</v>
      </c>
    </row>
    <row r="386" spans="1:12" x14ac:dyDescent="0.2">
      <c r="A386" s="1" t="s">
        <v>2173</v>
      </c>
      <c r="B386" s="2" t="str">
        <f>HYPERLINK("https://docket.philalegal.org/cgi-bin/proxy.pl?ct=180902606","180902606")</f>
        <v>180902606</v>
      </c>
      <c r="C386" s="3" t="s">
        <v>2174</v>
      </c>
      <c r="D386" s="3" t="s">
        <v>13</v>
      </c>
      <c r="E386" s="3" t="s">
        <v>319</v>
      </c>
      <c r="F386" s="3" t="s">
        <v>2175</v>
      </c>
      <c r="G386" s="3" t="s">
        <v>3726</v>
      </c>
      <c r="H386" s="3" t="s">
        <v>2176</v>
      </c>
      <c r="I386" s="3" t="s">
        <v>2177</v>
      </c>
      <c r="J386" s="3" t="s">
        <v>2178</v>
      </c>
      <c r="K386" s="3">
        <v>291094000</v>
      </c>
      <c r="L386" s="3" t="s">
        <v>2179</v>
      </c>
    </row>
    <row r="387" spans="1:12" x14ac:dyDescent="0.2">
      <c r="A387" s="1" t="s">
        <v>2180</v>
      </c>
      <c r="B387" s="2" t="str">
        <f>HYPERLINK("https://docket.philalegal.org/cgi-bin/proxy.pl?ct=231101313","231101313")</f>
        <v>231101313</v>
      </c>
      <c r="C387" s="3" t="s">
        <v>2181</v>
      </c>
      <c r="D387" s="3" t="s">
        <v>208</v>
      </c>
      <c r="E387" s="3" t="s">
        <v>2182</v>
      </c>
      <c r="F387" s="3"/>
      <c r="G387" s="3"/>
      <c r="H387" s="3" t="s">
        <v>2183</v>
      </c>
      <c r="I387" s="3" t="s">
        <v>1487</v>
      </c>
      <c r="J387" s="3" t="s">
        <v>2184</v>
      </c>
      <c r="K387" s="3" t="s">
        <v>2185</v>
      </c>
      <c r="L387" s="3" t="s">
        <v>2186</v>
      </c>
    </row>
    <row r="388" spans="1:12" x14ac:dyDescent="0.2">
      <c r="A388" s="1" t="s">
        <v>2187</v>
      </c>
      <c r="B388" s="2" t="str">
        <f>HYPERLINK("https://docket.philalegal.org/cgi-bin/proxy.pl?ct=200101924","200101924")</f>
        <v>200101924</v>
      </c>
      <c r="C388" s="3" t="s">
        <v>2188</v>
      </c>
      <c r="D388" s="3" t="s">
        <v>18</v>
      </c>
      <c r="E388" s="3" t="s">
        <v>319</v>
      </c>
      <c r="F388" s="3" t="s">
        <v>320</v>
      </c>
      <c r="G388" s="3" t="s">
        <v>2189</v>
      </c>
      <c r="H388" s="3" t="s">
        <v>2189</v>
      </c>
      <c r="I388" s="3" t="s">
        <v>2190</v>
      </c>
      <c r="J388" s="3" t="s">
        <v>2191</v>
      </c>
      <c r="K388" s="3">
        <v>202166000</v>
      </c>
      <c r="L388" s="3" t="s">
        <v>2192</v>
      </c>
    </row>
    <row r="389" spans="1:12" x14ac:dyDescent="0.2">
      <c r="A389" s="1" t="s">
        <v>2193</v>
      </c>
      <c r="B389" s="2" t="str">
        <f>HYPERLINK("https://docket.philalegal.org/cgi-bin/proxy.pl?ct=190501634","190501634")</f>
        <v>190501634</v>
      </c>
      <c r="C389" s="3" t="s">
        <v>704</v>
      </c>
      <c r="D389" s="3" t="s">
        <v>841</v>
      </c>
      <c r="E389" s="3" t="s">
        <v>187</v>
      </c>
      <c r="F389" s="3" t="s">
        <v>210</v>
      </c>
      <c r="G389" s="3" t="s">
        <v>2194</v>
      </c>
      <c r="H389" s="3" t="s">
        <v>2194</v>
      </c>
      <c r="I389" s="3"/>
      <c r="J389" s="3" t="s">
        <v>2195</v>
      </c>
      <c r="K389" s="3">
        <v>291125500</v>
      </c>
      <c r="L389" s="3" t="s">
        <v>2196</v>
      </c>
    </row>
    <row r="390" spans="1:12" x14ac:dyDescent="0.2">
      <c r="A390" s="1" t="s">
        <v>2197</v>
      </c>
      <c r="B390" s="2" t="str">
        <f>HYPERLINK("https://docket.philalegal.org/cgi-bin/proxy.pl?ct=160801969","160801969")</f>
        <v>160801969</v>
      </c>
      <c r="C390" s="3" t="s">
        <v>2198</v>
      </c>
      <c r="D390" s="3" t="s">
        <v>88</v>
      </c>
      <c r="E390" s="3" t="s">
        <v>565</v>
      </c>
      <c r="F390" s="3" t="s">
        <v>566</v>
      </c>
      <c r="G390" s="3" t="s">
        <v>2199</v>
      </c>
      <c r="H390" s="3" t="s">
        <v>2199</v>
      </c>
      <c r="I390" s="3" t="s">
        <v>2200</v>
      </c>
      <c r="J390" s="3" t="s">
        <v>2201</v>
      </c>
      <c r="K390" s="3">
        <v>462124100</v>
      </c>
      <c r="L390" s="3" t="s">
        <v>2202</v>
      </c>
    </row>
    <row r="391" spans="1:12" x14ac:dyDescent="0.2">
      <c r="A391" s="1" t="s">
        <v>2203</v>
      </c>
      <c r="B391" s="2" t="str">
        <f>HYPERLINK("https://docket.philalegal.org/cgi-bin/proxy.pl?ct=160800279","160800279")</f>
        <v>160800279</v>
      </c>
      <c r="C391" s="3" t="s">
        <v>2204</v>
      </c>
      <c r="D391" s="3" t="s">
        <v>13</v>
      </c>
      <c r="E391" s="3" t="s">
        <v>305</v>
      </c>
      <c r="F391" s="3" t="s">
        <v>354</v>
      </c>
      <c r="G391" s="3" t="s">
        <v>2205</v>
      </c>
      <c r="H391" s="3" t="s">
        <v>2205</v>
      </c>
      <c r="I391" s="3"/>
      <c r="J391" s="3" t="s">
        <v>2206</v>
      </c>
      <c r="K391" s="3">
        <v>471075900</v>
      </c>
      <c r="L391" s="3" t="s">
        <v>2207</v>
      </c>
    </row>
    <row r="392" spans="1:12" x14ac:dyDescent="0.2">
      <c r="A392" s="1" t="s">
        <v>2208</v>
      </c>
      <c r="B392" s="2" t="str">
        <f>HYPERLINK("https://docket.philalegal.org/cgi-bin/proxy.pl?ct=230302367","230302367")</f>
        <v>230302367</v>
      </c>
      <c r="C392" s="3" t="s">
        <v>2209</v>
      </c>
      <c r="D392" s="3" t="s">
        <v>216</v>
      </c>
      <c r="E392" s="3" t="s">
        <v>2210</v>
      </c>
      <c r="F392" s="3" t="s">
        <v>36</v>
      </c>
      <c r="G392" s="3" t="s">
        <v>3727</v>
      </c>
      <c r="H392" s="3" t="s">
        <v>2211</v>
      </c>
      <c r="I392" s="3"/>
      <c r="J392" s="3" t="s">
        <v>2212</v>
      </c>
      <c r="K392" s="3">
        <v>292282000</v>
      </c>
      <c r="L392" s="3" t="s">
        <v>2213</v>
      </c>
    </row>
    <row r="393" spans="1:12" x14ac:dyDescent="0.2">
      <c r="A393" s="1" t="s">
        <v>2214</v>
      </c>
      <c r="B393" s="2" t="str">
        <f>HYPERLINK("https://docket.philalegal.org/cgi-bin/proxy.pl?ct=170901660","170901660")</f>
        <v>170901660</v>
      </c>
      <c r="C393" s="3" t="s">
        <v>2215</v>
      </c>
      <c r="D393" s="3" t="s">
        <v>18</v>
      </c>
      <c r="E393" s="3" t="s">
        <v>2216</v>
      </c>
      <c r="F393" s="3" t="s">
        <v>173</v>
      </c>
      <c r="G393" s="3" t="s">
        <v>3728</v>
      </c>
      <c r="H393" s="3" t="s">
        <v>2217</v>
      </c>
      <c r="I393" s="3"/>
      <c r="J393" s="3" t="s">
        <v>2218</v>
      </c>
      <c r="K393" s="3">
        <v>311196500</v>
      </c>
      <c r="L393" s="3" t="s">
        <v>2219</v>
      </c>
    </row>
    <row r="394" spans="1:12" x14ac:dyDescent="0.2">
      <c r="A394" s="1" t="s">
        <v>2220</v>
      </c>
      <c r="B394" s="2" t="str">
        <f>HYPERLINK("https://docket.philalegal.org/cgi-bin/proxy.pl?ct=190101408","190101408")</f>
        <v>190101408</v>
      </c>
      <c r="C394" s="3" t="s">
        <v>2221</v>
      </c>
      <c r="D394" s="3" t="s">
        <v>13</v>
      </c>
      <c r="E394" s="3" t="s">
        <v>496</v>
      </c>
      <c r="F394" s="3" t="s">
        <v>497</v>
      </c>
      <c r="G394" s="3" t="s">
        <v>3729</v>
      </c>
      <c r="H394" s="3" t="s">
        <v>2222</v>
      </c>
      <c r="I394" s="3"/>
      <c r="J394" s="3" t="s">
        <v>2223</v>
      </c>
      <c r="K394" s="3">
        <v>471115700</v>
      </c>
      <c r="L394" s="3" t="s">
        <v>2224</v>
      </c>
    </row>
    <row r="395" spans="1:12" x14ac:dyDescent="0.2">
      <c r="A395" s="1" t="s">
        <v>2225</v>
      </c>
      <c r="B395" s="2" t="str">
        <f>HYPERLINK("https://docket.philalegal.org/cgi-bin/proxy.pl?ct=150402259","150402259")</f>
        <v>150402259</v>
      </c>
      <c r="C395" s="3" t="s">
        <v>2226</v>
      </c>
      <c r="D395" s="3" t="s">
        <v>13</v>
      </c>
      <c r="E395" s="3" t="s">
        <v>35</v>
      </c>
      <c r="F395" s="3" t="s">
        <v>36</v>
      </c>
      <c r="G395" s="3" t="s">
        <v>3730</v>
      </c>
      <c r="H395" s="3" t="s">
        <v>2227</v>
      </c>
      <c r="I395" s="3"/>
      <c r="J395" s="3" t="s">
        <v>2228</v>
      </c>
      <c r="K395" s="3">
        <v>365056800</v>
      </c>
      <c r="L395" s="3" t="s">
        <v>2229</v>
      </c>
    </row>
    <row r="396" spans="1:12" x14ac:dyDescent="0.2">
      <c r="A396" s="1" t="s">
        <v>2230</v>
      </c>
      <c r="B396" s="2" t="str">
        <f>HYPERLINK("https://docket.philalegal.org/cgi-bin/proxy.pl?ct=201002146","201002146")</f>
        <v>201002146</v>
      </c>
      <c r="C396" s="3" t="s">
        <v>588</v>
      </c>
      <c r="D396" s="3" t="s">
        <v>13</v>
      </c>
      <c r="E396" s="3" t="s">
        <v>2231</v>
      </c>
      <c r="F396" s="3" t="s">
        <v>998</v>
      </c>
      <c r="G396" s="3" t="s">
        <v>3901</v>
      </c>
      <c r="H396" s="3" t="s">
        <v>2232</v>
      </c>
      <c r="I396" s="3"/>
      <c r="J396" s="3" t="s">
        <v>2233</v>
      </c>
      <c r="K396" s="3">
        <v>881442710</v>
      </c>
      <c r="L396" s="3" t="s">
        <v>2234</v>
      </c>
    </row>
    <row r="397" spans="1:12" x14ac:dyDescent="0.2">
      <c r="A397" s="1" t="s">
        <v>2235</v>
      </c>
      <c r="B397" s="2" t="str">
        <f>HYPERLINK("https://docket.philalegal.org/cgi-bin/proxy.pl?ct=210700369","210700369")</f>
        <v>210700369</v>
      </c>
      <c r="C397" s="3" t="s">
        <v>2236</v>
      </c>
      <c r="D397" s="3" t="s">
        <v>18</v>
      </c>
      <c r="E397" s="3" t="s">
        <v>1537</v>
      </c>
      <c r="F397" s="3" t="s">
        <v>1321</v>
      </c>
      <c r="G397" s="3" t="s">
        <v>3731</v>
      </c>
      <c r="H397" s="3" t="s">
        <v>2237</v>
      </c>
      <c r="I397" s="3"/>
      <c r="J397" s="3" t="s">
        <v>2238</v>
      </c>
      <c r="K397" s="3">
        <v>301123500</v>
      </c>
      <c r="L397" s="3" t="s">
        <v>1541</v>
      </c>
    </row>
    <row r="398" spans="1:12" x14ac:dyDescent="0.2">
      <c r="A398" s="1" t="s">
        <v>2239</v>
      </c>
      <c r="B398" s="2" t="str">
        <f>HYPERLINK("https://docket.philalegal.org/cgi-bin/proxy.pl?ct=220801802","220801802")</f>
        <v>220801802</v>
      </c>
      <c r="C398" s="3" t="s">
        <v>293</v>
      </c>
      <c r="D398" s="3" t="s">
        <v>216</v>
      </c>
      <c r="E398" s="3" t="s">
        <v>187</v>
      </c>
      <c r="F398" s="3" t="s">
        <v>210</v>
      </c>
      <c r="G398" s="3" t="s">
        <v>2240</v>
      </c>
      <c r="H398" s="3" t="s">
        <v>2240</v>
      </c>
      <c r="I398" s="3" t="s">
        <v>405</v>
      </c>
      <c r="J398" s="3" t="s">
        <v>2241</v>
      </c>
      <c r="K398" s="3">
        <v>341109500</v>
      </c>
      <c r="L398" s="3" t="s">
        <v>2242</v>
      </c>
    </row>
    <row r="399" spans="1:12" x14ac:dyDescent="0.2">
      <c r="A399" s="1" t="s">
        <v>2243</v>
      </c>
      <c r="B399" s="2" t="str">
        <f>HYPERLINK("https://docket.philalegal.org/cgi-bin/proxy.pl?ct=180902610","180902610")</f>
        <v>180902610</v>
      </c>
      <c r="C399" s="3" t="s">
        <v>2244</v>
      </c>
      <c r="D399" s="3" t="s">
        <v>88</v>
      </c>
      <c r="E399" s="3" t="s">
        <v>319</v>
      </c>
      <c r="F399" s="3" t="s">
        <v>405</v>
      </c>
      <c r="G399" s="3" t="s">
        <v>3732</v>
      </c>
      <c r="H399" s="3" t="s">
        <v>2245</v>
      </c>
      <c r="I399" s="3" t="s">
        <v>2246</v>
      </c>
      <c r="J399" s="3" t="s">
        <v>2247</v>
      </c>
      <c r="K399" s="3">
        <v>292127800</v>
      </c>
      <c r="L399" s="3" t="s">
        <v>88</v>
      </c>
    </row>
    <row r="400" spans="1:12" x14ac:dyDescent="0.2">
      <c r="A400" s="1" t="s">
        <v>2248</v>
      </c>
      <c r="B400" s="2" t="str">
        <f>HYPERLINK("https://docket.philalegal.org/cgi-bin/proxy.pl?ct=160503996","160503996")</f>
        <v>160503996</v>
      </c>
      <c r="C400" s="3" t="s">
        <v>2118</v>
      </c>
      <c r="D400" s="3" t="s">
        <v>13</v>
      </c>
      <c r="E400" s="3" t="s">
        <v>2119</v>
      </c>
      <c r="F400" s="3" t="s">
        <v>173</v>
      </c>
      <c r="G400" s="3" t="s">
        <v>3719</v>
      </c>
      <c r="H400" s="3" t="s">
        <v>2120</v>
      </c>
      <c r="I400" s="3" t="s">
        <v>2249</v>
      </c>
      <c r="J400" s="3" t="s">
        <v>2250</v>
      </c>
      <c r="K400" s="3">
        <v>884344090</v>
      </c>
      <c r="L400" s="3" t="s">
        <v>2251</v>
      </c>
    </row>
    <row r="401" spans="1:12" x14ac:dyDescent="0.2">
      <c r="A401" s="1" t="s">
        <v>2252</v>
      </c>
      <c r="B401" s="2" t="str">
        <f>HYPERLINK("https://docket.philalegal.org/cgi-bin/proxy.pl?ct=180601788","180601788")</f>
        <v>180601788</v>
      </c>
      <c r="C401" s="3" t="s">
        <v>2253</v>
      </c>
      <c r="D401" s="3" t="s">
        <v>13</v>
      </c>
      <c r="E401" s="3" t="s">
        <v>230</v>
      </c>
      <c r="F401" s="3" t="s">
        <v>173</v>
      </c>
      <c r="G401" s="3"/>
      <c r="H401" s="3" t="s">
        <v>2254</v>
      </c>
      <c r="I401" s="3" t="s">
        <v>52</v>
      </c>
      <c r="J401" s="3" t="s">
        <v>2255</v>
      </c>
      <c r="K401" s="3">
        <v>291117000</v>
      </c>
      <c r="L401" s="3" t="s">
        <v>931</v>
      </c>
    </row>
    <row r="402" spans="1:12" x14ac:dyDescent="0.2">
      <c r="A402" s="1" t="s">
        <v>2256</v>
      </c>
      <c r="B402" s="2" t="str">
        <f>HYPERLINK("https://docket.philalegal.org/cgi-bin/proxy.pl?ct=161004676","161004676")</f>
        <v>161004676</v>
      </c>
      <c r="C402" s="3" t="s">
        <v>2257</v>
      </c>
      <c r="D402" s="3" t="s">
        <v>88</v>
      </c>
      <c r="E402" s="3" t="s">
        <v>636</v>
      </c>
      <c r="F402" s="3" t="s">
        <v>566</v>
      </c>
      <c r="G402" s="3" t="s">
        <v>3733</v>
      </c>
      <c r="H402" s="3" t="s">
        <v>2258</v>
      </c>
      <c r="I402" s="3"/>
      <c r="J402" s="3" t="s">
        <v>2259</v>
      </c>
      <c r="K402" s="3">
        <v>222113700</v>
      </c>
      <c r="L402" s="3" t="s">
        <v>791</v>
      </c>
    </row>
    <row r="403" spans="1:12" x14ac:dyDescent="0.2">
      <c r="A403" s="1" t="s">
        <v>2260</v>
      </c>
      <c r="B403" s="2" t="str">
        <f>HYPERLINK("https://docket.philalegal.org/cgi-bin/proxy.pl?ct=231000795","231000795")</f>
        <v>231000795</v>
      </c>
      <c r="C403" s="3" t="s">
        <v>2261</v>
      </c>
      <c r="D403" s="3" t="s">
        <v>208</v>
      </c>
      <c r="E403" s="3" t="s">
        <v>194</v>
      </c>
      <c r="F403" s="3" t="s">
        <v>1426</v>
      </c>
      <c r="G403" s="3" t="s">
        <v>3897</v>
      </c>
      <c r="H403" s="3" t="s">
        <v>2262</v>
      </c>
      <c r="I403" s="3"/>
      <c r="J403" s="3" t="s">
        <v>2263</v>
      </c>
      <c r="K403" s="3" t="s">
        <v>2264</v>
      </c>
      <c r="L403" s="3" t="s">
        <v>2265</v>
      </c>
    </row>
    <row r="404" spans="1:12" x14ac:dyDescent="0.2">
      <c r="A404" s="1" t="s">
        <v>2266</v>
      </c>
      <c r="B404" s="2" t="str">
        <f>HYPERLINK("https://docket.philalegal.org/cgi-bin/proxy.pl?ct=220500688","220500688")</f>
        <v>220500688</v>
      </c>
      <c r="C404" s="3" t="s">
        <v>185</v>
      </c>
      <c r="D404" s="3" t="s">
        <v>18</v>
      </c>
      <c r="E404" s="3" t="s">
        <v>187</v>
      </c>
      <c r="F404" s="3" t="s">
        <v>210</v>
      </c>
      <c r="G404" s="3"/>
      <c r="H404" s="3" t="s">
        <v>2267</v>
      </c>
      <c r="I404" s="3" t="s">
        <v>2268</v>
      </c>
      <c r="J404" s="3" t="s">
        <v>2269</v>
      </c>
      <c r="K404" s="3">
        <v>365374700</v>
      </c>
      <c r="L404" s="3" t="s">
        <v>267</v>
      </c>
    </row>
    <row r="405" spans="1:12" x14ac:dyDescent="0.2">
      <c r="A405" s="1" t="s">
        <v>2270</v>
      </c>
      <c r="B405" s="2" t="str">
        <f>HYPERLINK("https://docket.philalegal.org/cgi-bin/proxy.pl?ct=180500037","180500037")</f>
        <v>180500037</v>
      </c>
      <c r="C405" s="3" t="s">
        <v>704</v>
      </c>
      <c r="D405" s="3" t="s">
        <v>79</v>
      </c>
      <c r="E405" s="3" t="s">
        <v>187</v>
      </c>
      <c r="F405" s="3" t="s">
        <v>271</v>
      </c>
      <c r="G405" s="3"/>
      <c r="H405" s="3" t="s">
        <v>2271</v>
      </c>
      <c r="I405" s="3" t="s">
        <v>2272</v>
      </c>
      <c r="J405" s="3" t="s">
        <v>2273</v>
      </c>
      <c r="K405" s="3">
        <v>471084010</v>
      </c>
      <c r="L405" s="3" t="s">
        <v>1085</v>
      </c>
    </row>
    <row r="406" spans="1:12" x14ac:dyDescent="0.2">
      <c r="A406" s="1" t="s">
        <v>2274</v>
      </c>
      <c r="B406" s="2" t="str">
        <f>HYPERLINK("https://docket.philalegal.org/cgi-bin/proxy.pl?ct=160200441","160200441")</f>
        <v>160200441</v>
      </c>
      <c r="C406" s="3" t="s">
        <v>2275</v>
      </c>
      <c r="D406" s="3" t="s">
        <v>18</v>
      </c>
      <c r="E406" s="3" t="s">
        <v>35</v>
      </c>
      <c r="F406" s="3" t="s">
        <v>173</v>
      </c>
      <c r="G406" s="3" t="s">
        <v>2276</v>
      </c>
      <c r="H406" s="3" t="s">
        <v>2276</v>
      </c>
      <c r="I406" s="3" t="s">
        <v>2277</v>
      </c>
      <c r="J406" s="3" t="s">
        <v>2278</v>
      </c>
      <c r="K406" s="3">
        <v>871502290</v>
      </c>
      <c r="L406" s="3" t="s">
        <v>1738</v>
      </c>
    </row>
    <row r="407" spans="1:12" x14ac:dyDescent="0.2">
      <c r="A407" s="1" t="s">
        <v>2279</v>
      </c>
      <c r="B407" s="2" t="str">
        <f>HYPERLINK("https://docket.philalegal.org/cgi-bin/proxy.pl?ct=131202912","131202912")</f>
        <v>131202912</v>
      </c>
      <c r="C407" s="3" t="s">
        <v>2280</v>
      </c>
      <c r="D407" s="3" t="s">
        <v>18</v>
      </c>
      <c r="E407" s="3" t="s">
        <v>2152</v>
      </c>
      <c r="F407" s="3" t="s">
        <v>36</v>
      </c>
      <c r="G407" s="3" t="s">
        <v>2281</v>
      </c>
      <c r="H407" s="3" t="s">
        <v>2281</v>
      </c>
      <c r="I407" s="3"/>
      <c r="J407" s="3" t="s">
        <v>2282</v>
      </c>
      <c r="K407" s="3">
        <v>314119000</v>
      </c>
      <c r="L407" s="3" t="s">
        <v>2155</v>
      </c>
    </row>
    <row r="408" spans="1:12" x14ac:dyDescent="0.2">
      <c r="A408" s="1" t="s">
        <v>2283</v>
      </c>
      <c r="B408" s="2" t="str">
        <f>HYPERLINK("https://docket.philalegal.org/cgi-bin/proxy.pl?ct=170504523","170504523")</f>
        <v>170504523</v>
      </c>
      <c r="C408" s="3" t="s">
        <v>2284</v>
      </c>
      <c r="D408" s="3" t="s">
        <v>18</v>
      </c>
      <c r="E408" s="3" t="s">
        <v>2285</v>
      </c>
      <c r="F408" s="3" t="s">
        <v>173</v>
      </c>
      <c r="G408" s="3"/>
      <c r="H408" s="3" t="s">
        <v>2286</v>
      </c>
      <c r="I408" s="3"/>
      <c r="J408" s="3" t="s">
        <v>2287</v>
      </c>
      <c r="K408" s="3">
        <v>372289901</v>
      </c>
      <c r="L408" s="3" t="s">
        <v>2288</v>
      </c>
    </row>
    <row r="409" spans="1:12" x14ac:dyDescent="0.2">
      <c r="A409" s="1" t="s">
        <v>2289</v>
      </c>
      <c r="B409" s="2" t="str">
        <f>HYPERLINK("https://docket.philalegal.org/cgi-bin/proxy.pl?ct=160801967","160801967")</f>
        <v>160801967</v>
      </c>
      <c r="C409" s="3" t="s">
        <v>2290</v>
      </c>
      <c r="D409" s="3" t="s">
        <v>88</v>
      </c>
      <c r="E409" s="3" t="s">
        <v>565</v>
      </c>
      <c r="F409" s="3" t="s">
        <v>566</v>
      </c>
      <c r="G409" s="3" t="s">
        <v>2291</v>
      </c>
      <c r="H409" s="3" t="s">
        <v>2291</v>
      </c>
      <c r="I409" s="3"/>
      <c r="J409" s="3" t="s">
        <v>2292</v>
      </c>
      <c r="K409" s="3">
        <v>871215500</v>
      </c>
      <c r="L409" s="3" t="s">
        <v>2293</v>
      </c>
    </row>
    <row r="410" spans="1:12" x14ac:dyDescent="0.2">
      <c r="A410" s="1" t="s">
        <v>2294</v>
      </c>
      <c r="B410" s="2" t="str">
        <f>HYPERLINK("https://docket.philalegal.org/cgi-bin/proxy.pl?ct=230701319","230701319")</f>
        <v>230701319</v>
      </c>
      <c r="C410" s="3" t="s">
        <v>2295</v>
      </c>
      <c r="D410" s="3" t="s">
        <v>208</v>
      </c>
      <c r="E410" s="3" t="s">
        <v>986</v>
      </c>
      <c r="F410" s="3" t="s">
        <v>44</v>
      </c>
      <c r="G410" s="3" t="s">
        <v>2296</v>
      </c>
      <c r="H410" s="3" t="s">
        <v>2296</v>
      </c>
      <c r="I410" s="3"/>
      <c r="J410" s="3" t="s">
        <v>2297</v>
      </c>
      <c r="K410" s="3">
        <v>133077800</v>
      </c>
      <c r="L410" s="3" t="s">
        <v>2298</v>
      </c>
    </row>
    <row r="411" spans="1:12" x14ac:dyDescent="0.2">
      <c r="A411" s="1" t="s">
        <v>2299</v>
      </c>
      <c r="B411" s="2" t="str">
        <f>HYPERLINK("https://docket.philalegal.org/cgi-bin/proxy.pl?ct=230903194","230903194")</f>
        <v>230903194</v>
      </c>
      <c r="C411" s="3" t="s">
        <v>2300</v>
      </c>
      <c r="D411" s="3" t="s">
        <v>208</v>
      </c>
      <c r="E411" s="3" t="s">
        <v>194</v>
      </c>
      <c r="F411" s="3" t="s">
        <v>1426</v>
      </c>
      <c r="G411" s="3" t="s">
        <v>3853</v>
      </c>
      <c r="H411" s="3" t="s">
        <v>1786</v>
      </c>
      <c r="I411" s="3"/>
      <c r="J411" s="3" t="s">
        <v>2301</v>
      </c>
      <c r="K411" s="3" t="s">
        <v>2302</v>
      </c>
      <c r="L411" s="3" t="s">
        <v>2303</v>
      </c>
    </row>
    <row r="412" spans="1:12" x14ac:dyDescent="0.2">
      <c r="A412" s="1" t="s">
        <v>2304</v>
      </c>
      <c r="B412" s="2" t="str">
        <f>HYPERLINK("https://docket.philalegal.org/cgi-bin/proxy.pl?ct=221102551","221102551")</f>
        <v>221102551</v>
      </c>
      <c r="C412" s="3" t="s">
        <v>2305</v>
      </c>
      <c r="D412" s="3" t="s">
        <v>216</v>
      </c>
      <c r="E412" s="3" t="s">
        <v>2306</v>
      </c>
      <c r="F412" s="3" t="s">
        <v>36</v>
      </c>
      <c r="G412" s="3" t="s">
        <v>2307</v>
      </c>
      <c r="H412" s="3" t="s">
        <v>2307</v>
      </c>
      <c r="I412" s="3" t="s">
        <v>2308</v>
      </c>
      <c r="J412" s="3" t="s">
        <v>2309</v>
      </c>
      <c r="K412" s="3">
        <v>363173100</v>
      </c>
      <c r="L412" s="3" t="s">
        <v>2310</v>
      </c>
    </row>
    <row r="413" spans="1:12" x14ac:dyDescent="0.2">
      <c r="A413" s="1" t="s">
        <v>2311</v>
      </c>
      <c r="B413" s="2" t="str">
        <f>HYPERLINK("https://docket.philalegal.org/cgi-bin/proxy.pl?ct=180104225","180104225")</f>
        <v>180104225</v>
      </c>
      <c r="C413" s="3" t="s">
        <v>2312</v>
      </c>
      <c r="D413" s="3" t="s">
        <v>13</v>
      </c>
      <c r="E413" s="3" t="s">
        <v>2313</v>
      </c>
      <c r="F413" s="3" t="s">
        <v>2314</v>
      </c>
      <c r="G413" s="3" t="s">
        <v>3734</v>
      </c>
      <c r="H413" s="3" t="s">
        <v>2315</v>
      </c>
      <c r="I413" s="3" t="s">
        <v>2316</v>
      </c>
      <c r="J413" s="3" t="s">
        <v>2317</v>
      </c>
      <c r="K413" s="3">
        <v>871514390</v>
      </c>
      <c r="L413" s="3" t="s">
        <v>2318</v>
      </c>
    </row>
    <row r="414" spans="1:12" x14ac:dyDescent="0.2">
      <c r="A414" s="1" t="s">
        <v>2319</v>
      </c>
      <c r="B414" s="2" t="str">
        <f>HYPERLINK("https://docket.philalegal.org/cgi-bin/proxy.pl?ct=160602196","160602196")</f>
        <v>160602196</v>
      </c>
      <c r="C414" s="3" t="s">
        <v>2320</v>
      </c>
      <c r="D414" s="3" t="s">
        <v>13</v>
      </c>
      <c r="E414" s="3" t="s">
        <v>305</v>
      </c>
      <c r="F414" s="3" t="s">
        <v>2321</v>
      </c>
      <c r="G414" s="3" t="s">
        <v>3735</v>
      </c>
      <c r="H414" s="3" t="s">
        <v>2322</v>
      </c>
      <c r="I414" s="3" t="s">
        <v>561</v>
      </c>
      <c r="J414" s="3" t="s">
        <v>2323</v>
      </c>
      <c r="K414" s="3">
        <v>364013800</v>
      </c>
      <c r="L414" s="3" t="s">
        <v>2324</v>
      </c>
    </row>
    <row r="415" spans="1:12" x14ac:dyDescent="0.2">
      <c r="A415" s="1" t="s">
        <v>2325</v>
      </c>
      <c r="B415" s="2" t="str">
        <f>HYPERLINK("https://docket.philalegal.org/cgi-bin/proxy.pl?ct=231100302","231100302")</f>
        <v>231100302</v>
      </c>
      <c r="C415" s="3" t="s">
        <v>185</v>
      </c>
      <c r="D415" s="3" t="s">
        <v>208</v>
      </c>
      <c r="E415" s="3" t="s">
        <v>187</v>
      </c>
      <c r="F415" s="3" t="s">
        <v>210</v>
      </c>
      <c r="G415" s="3" t="s">
        <v>3736</v>
      </c>
      <c r="H415" s="3" t="s">
        <v>2326</v>
      </c>
      <c r="I415" s="3"/>
      <c r="J415" s="3" t="s">
        <v>2327</v>
      </c>
      <c r="K415" s="3">
        <v>323021900</v>
      </c>
      <c r="L415" s="3" t="s">
        <v>2328</v>
      </c>
    </row>
    <row r="416" spans="1:12" x14ac:dyDescent="0.2">
      <c r="A416" s="1" t="s">
        <v>2329</v>
      </c>
      <c r="B416" s="2" t="str">
        <f>HYPERLINK("https://docket.philalegal.org/cgi-bin/proxy.pl?ct=220600578","220600578")</f>
        <v>220600578</v>
      </c>
      <c r="C416" s="3" t="s">
        <v>293</v>
      </c>
      <c r="D416" s="3" t="s">
        <v>18</v>
      </c>
      <c r="E416" s="3" t="s">
        <v>187</v>
      </c>
      <c r="F416" s="3" t="s">
        <v>210</v>
      </c>
      <c r="G416" s="3"/>
      <c r="H416" s="3" t="s">
        <v>2330</v>
      </c>
      <c r="I416" s="3" t="s">
        <v>36</v>
      </c>
      <c r="J416" s="3" t="s">
        <v>2331</v>
      </c>
      <c r="K416" s="3">
        <v>361123300</v>
      </c>
      <c r="L416" s="3" t="s">
        <v>267</v>
      </c>
    </row>
    <row r="417" spans="1:12" x14ac:dyDescent="0.2">
      <c r="A417" s="1" t="s">
        <v>2332</v>
      </c>
      <c r="B417" s="2" t="str">
        <f>HYPERLINK("https://docket.philalegal.org/cgi-bin/proxy.pl?ct=170104339","170104339")</f>
        <v>170104339</v>
      </c>
      <c r="C417" s="3" t="s">
        <v>2333</v>
      </c>
      <c r="D417" s="3" t="s">
        <v>13</v>
      </c>
      <c r="E417" s="3" t="s">
        <v>636</v>
      </c>
      <c r="F417" s="3" t="s">
        <v>710</v>
      </c>
      <c r="G417" s="3" t="s">
        <v>3737</v>
      </c>
      <c r="H417" s="3" t="s">
        <v>2334</v>
      </c>
      <c r="I417" s="3" t="s">
        <v>2335</v>
      </c>
      <c r="J417" s="3" t="s">
        <v>2336</v>
      </c>
      <c r="K417" s="3">
        <v>123221300</v>
      </c>
      <c r="L417" s="3" t="s">
        <v>2337</v>
      </c>
    </row>
    <row r="418" spans="1:12" x14ac:dyDescent="0.2">
      <c r="A418" s="1" t="s">
        <v>2338</v>
      </c>
      <c r="B418" s="2" t="str">
        <f>HYPERLINK("https://docket.philalegal.org/cgi-bin/proxy.pl?ct=231001986","231001986")</f>
        <v>231001986</v>
      </c>
      <c r="C418" s="3" t="s">
        <v>2339</v>
      </c>
      <c r="D418" s="3" t="s">
        <v>208</v>
      </c>
      <c r="E418" s="3" t="s">
        <v>35</v>
      </c>
      <c r="F418" s="3" t="s">
        <v>36</v>
      </c>
      <c r="G418" s="3" t="s">
        <v>3738</v>
      </c>
      <c r="H418" s="3" t="s">
        <v>2340</v>
      </c>
      <c r="I418" s="3"/>
      <c r="J418" s="3" t="s">
        <v>2341</v>
      </c>
      <c r="K418" s="3">
        <v>871517860</v>
      </c>
      <c r="L418" s="3" t="s">
        <v>2342</v>
      </c>
    </row>
    <row r="419" spans="1:12" x14ac:dyDescent="0.2">
      <c r="A419" s="1" t="s">
        <v>2343</v>
      </c>
      <c r="B419" s="2" t="str">
        <f>HYPERLINK("https://docket.philalegal.org/cgi-bin/proxy.pl?ct=190101919","190101919")</f>
        <v>190101919</v>
      </c>
      <c r="C419" s="3" t="s">
        <v>2344</v>
      </c>
      <c r="D419" s="3" t="s">
        <v>13</v>
      </c>
      <c r="E419" s="3" t="s">
        <v>2345</v>
      </c>
      <c r="F419" s="3" t="s">
        <v>36</v>
      </c>
      <c r="G419" s="3" t="s">
        <v>2346</v>
      </c>
      <c r="H419" s="3" t="s">
        <v>2346</v>
      </c>
      <c r="I419" s="3"/>
      <c r="J419" s="3" t="s">
        <v>2347</v>
      </c>
      <c r="K419" s="3">
        <v>431011300</v>
      </c>
      <c r="L419" s="3" t="s">
        <v>2348</v>
      </c>
    </row>
    <row r="420" spans="1:12" x14ac:dyDescent="0.2">
      <c r="A420" s="1" t="s">
        <v>2349</v>
      </c>
      <c r="B420" s="2" t="str">
        <f>HYPERLINK("https://docket.philalegal.org/cgi-bin/proxy.pl?ct=180802809","180802809")</f>
        <v>180802809</v>
      </c>
      <c r="C420" s="3" t="s">
        <v>2350</v>
      </c>
      <c r="D420" s="3" t="s">
        <v>13</v>
      </c>
      <c r="E420" s="3" t="s">
        <v>35</v>
      </c>
      <c r="F420" s="3" t="s">
        <v>395</v>
      </c>
      <c r="G420" s="3" t="s">
        <v>2351</v>
      </c>
      <c r="H420" s="3" t="s">
        <v>2351</v>
      </c>
      <c r="I420" s="3" t="s">
        <v>2352</v>
      </c>
      <c r="J420" s="3" t="s">
        <v>2353</v>
      </c>
      <c r="K420" s="3">
        <v>481304700</v>
      </c>
      <c r="L420" s="3" t="s">
        <v>2354</v>
      </c>
    </row>
    <row r="421" spans="1:12" x14ac:dyDescent="0.2">
      <c r="A421" s="1" t="s">
        <v>2355</v>
      </c>
      <c r="B421" s="2" t="str">
        <f>HYPERLINK("https://docket.philalegal.org/cgi-bin/proxy.pl?ct=231101220","231101220")</f>
        <v>231101220</v>
      </c>
      <c r="C421" s="3" t="s">
        <v>2356</v>
      </c>
      <c r="D421" s="3" t="s">
        <v>208</v>
      </c>
      <c r="E421" s="3" t="s">
        <v>1036</v>
      </c>
      <c r="F421" s="3"/>
      <c r="G421" s="3" t="s">
        <v>3739</v>
      </c>
      <c r="H421" s="3" t="s">
        <v>2357</v>
      </c>
      <c r="I421" s="3"/>
      <c r="J421" s="3" t="s">
        <v>2358</v>
      </c>
      <c r="K421" s="3" t="s">
        <v>2359</v>
      </c>
      <c r="L421" s="3" t="s">
        <v>2360</v>
      </c>
    </row>
    <row r="422" spans="1:12" x14ac:dyDescent="0.2">
      <c r="A422" s="1" t="s">
        <v>2361</v>
      </c>
      <c r="B422" s="2" t="str">
        <f>HYPERLINK("https://docket.philalegal.org/cgi-bin/proxy.pl?ct=160801015","160801015")</f>
        <v>160801015</v>
      </c>
      <c r="C422" s="3" t="s">
        <v>2362</v>
      </c>
      <c r="D422" s="3" t="s">
        <v>13</v>
      </c>
      <c r="E422" s="3" t="s">
        <v>636</v>
      </c>
      <c r="F422" s="3" t="s">
        <v>710</v>
      </c>
      <c r="G422" s="3" t="s">
        <v>3740</v>
      </c>
      <c r="H422" s="3" t="s">
        <v>2363</v>
      </c>
      <c r="I422" s="3" t="s">
        <v>2364</v>
      </c>
      <c r="J422" s="3" t="s">
        <v>2365</v>
      </c>
      <c r="K422" s="3">
        <v>223020700</v>
      </c>
      <c r="L422" s="3" t="s">
        <v>2366</v>
      </c>
    </row>
    <row r="423" spans="1:12" x14ac:dyDescent="0.2">
      <c r="A423" s="1" t="s">
        <v>2367</v>
      </c>
      <c r="B423" s="2" t="str">
        <f>HYPERLINK("https://docket.philalegal.org/cgi-bin/proxy.pl?ct=210401701","210401701")</f>
        <v>210401701</v>
      </c>
      <c r="C423" s="3" t="s">
        <v>372</v>
      </c>
      <c r="D423" s="3" t="s">
        <v>18</v>
      </c>
      <c r="E423" s="3" t="s">
        <v>187</v>
      </c>
      <c r="F423" s="3" t="s">
        <v>210</v>
      </c>
      <c r="G423" s="3" t="s">
        <v>3741</v>
      </c>
      <c r="H423" s="3" t="s">
        <v>2368</v>
      </c>
      <c r="I423" s="3" t="s">
        <v>36</v>
      </c>
      <c r="J423" s="3" t="s">
        <v>2369</v>
      </c>
      <c r="K423" s="3" t="s">
        <v>2370</v>
      </c>
      <c r="L423" s="3" t="s">
        <v>2371</v>
      </c>
    </row>
    <row r="424" spans="1:12" x14ac:dyDescent="0.2">
      <c r="A424" s="1" t="s">
        <v>2372</v>
      </c>
      <c r="B424" s="2" t="str">
        <f>HYPERLINK("https://docket.philalegal.org/cgi-bin/proxy.pl?ct=160101537","160101537")</f>
        <v>160101537</v>
      </c>
      <c r="C424" s="3" t="s">
        <v>2373</v>
      </c>
      <c r="D424" s="3" t="s">
        <v>18</v>
      </c>
      <c r="E424" s="3" t="s">
        <v>1025</v>
      </c>
      <c r="F424" s="3" t="s">
        <v>20</v>
      </c>
      <c r="G424" s="3" t="s">
        <v>3742</v>
      </c>
      <c r="H424" s="3" t="s">
        <v>2374</v>
      </c>
      <c r="I424" s="3" t="s">
        <v>2375</v>
      </c>
      <c r="J424" s="3" t="s">
        <v>2376</v>
      </c>
      <c r="K424" s="3">
        <v>151380400</v>
      </c>
      <c r="L424" s="3" t="s">
        <v>1028</v>
      </c>
    </row>
    <row r="425" spans="1:12" x14ac:dyDescent="0.2">
      <c r="A425" s="1" t="s">
        <v>2377</v>
      </c>
      <c r="B425" s="2" t="str">
        <f>HYPERLINK("https://docket.philalegal.org/cgi-bin/proxy.pl?ct=180600045","180600045")</f>
        <v>180600045</v>
      </c>
      <c r="C425" s="3" t="s">
        <v>185</v>
      </c>
      <c r="D425" s="3" t="s">
        <v>13</v>
      </c>
      <c r="E425" s="3" t="s">
        <v>187</v>
      </c>
      <c r="F425" s="3" t="s">
        <v>210</v>
      </c>
      <c r="G425" s="3" t="s">
        <v>2378</v>
      </c>
      <c r="H425" s="3" t="s">
        <v>2378</v>
      </c>
      <c r="I425" s="3" t="s">
        <v>2379</v>
      </c>
      <c r="J425" s="3" t="s">
        <v>2380</v>
      </c>
      <c r="K425" s="3">
        <v>361074100</v>
      </c>
      <c r="L425" s="3" t="s">
        <v>2381</v>
      </c>
    </row>
    <row r="426" spans="1:12" x14ac:dyDescent="0.2">
      <c r="A426" s="1" t="s">
        <v>2382</v>
      </c>
      <c r="B426" s="2" t="str">
        <f>HYPERLINK("https://docket.philalegal.org/cgi-bin/proxy.pl?ct=130602786","130602786")</f>
        <v>130602786</v>
      </c>
      <c r="C426" s="3" t="s">
        <v>2383</v>
      </c>
      <c r="D426" s="3" t="s">
        <v>88</v>
      </c>
      <c r="E426" s="3" t="s">
        <v>2384</v>
      </c>
      <c r="F426" s="3" t="s">
        <v>36</v>
      </c>
      <c r="G426" s="3" t="s">
        <v>3743</v>
      </c>
      <c r="H426" s="3" t="s">
        <v>2385</v>
      </c>
      <c r="I426" s="3" t="s">
        <v>2386</v>
      </c>
      <c r="J426" s="3" t="s">
        <v>2387</v>
      </c>
      <c r="K426" s="3">
        <v>292202700</v>
      </c>
      <c r="L426" s="3" t="s">
        <v>2388</v>
      </c>
    </row>
    <row r="427" spans="1:12" x14ac:dyDescent="0.2">
      <c r="A427" s="1" t="s">
        <v>2389</v>
      </c>
      <c r="B427" s="2" t="str">
        <f>HYPERLINK("https://docket.philalegal.org/cgi-bin/proxy.pl?ct=171002426","171002426")</f>
        <v>171002426</v>
      </c>
      <c r="C427" s="3" t="s">
        <v>185</v>
      </c>
      <c r="D427" s="3" t="s">
        <v>88</v>
      </c>
      <c r="E427" s="3" t="s">
        <v>187</v>
      </c>
      <c r="F427" s="3" t="s">
        <v>210</v>
      </c>
      <c r="G427" s="3"/>
      <c r="H427" s="3" t="s">
        <v>2390</v>
      </c>
      <c r="I427" s="3"/>
      <c r="J427" s="3" t="s">
        <v>1746</v>
      </c>
      <c r="K427" s="3">
        <v>772219000</v>
      </c>
      <c r="L427" s="3" t="s">
        <v>2391</v>
      </c>
    </row>
    <row r="428" spans="1:12" x14ac:dyDescent="0.2">
      <c r="A428" s="1" t="s">
        <v>2392</v>
      </c>
      <c r="B428" s="2" t="str">
        <f>HYPERLINK("https://docket.philalegal.org/cgi-bin/proxy.pl?ct=130602785","130602785")</f>
        <v>130602785</v>
      </c>
      <c r="C428" s="3" t="s">
        <v>2393</v>
      </c>
      <c r="D428" s="3" t="s">
        <v>18</v>
      </c>
      <c r="E428" s="3" t="s">
        <v>2384</v>
      </c>
      <c r="F428" s="3" t="s">
        <v>36</v>
      </c>
      <c r="G428" s="3" t="s">
        <v>3743</v>
      </c>
      <c r="H428" s="3" t="s">
        <v>2385</v>
      </c>
      <c r="I428" s="3" t="s">
        <v>2394</v>
      </c>
      <c r="J428" s="3" t="s">
        <v>2395</v>
      </c>
      <c r="K428" s="3">
        <v>292202800</v>
      </c>
      <c r="L428" s="3" t="s">
        <v>2396</v>
      </c>
    </row>
    <row r="429" spans="1:12" x14ac:dyDescent="0.2">
      <c r="A429" s="1" t="s">
        <v>2397</v>
      </c>
      <c r="B429" s="2" t="str">
        <f>HYPERLINK("https://docket.philalegal.org/cgi-bin/proxy.pl?ct=240101762","240101762")</f>
        <v>240101762</v>
      </c>
      <c r="C429" s="3" t="s">
        <v>185</v>
      </c>
      <c r="D429" s="3" t="s">
        <v>208</v>
      </c>
      <c r="E429" s="3" t="s">
        <v>187</v>
      </c>
      <c r="F429" s="3" t="s">
        <v>210</v>
      </c>
      <c r="G429" s="3"/>
      <c r="H429" s="3" t="s">
        <v>2398</v>
      </c>
      <c r="I429" s="3"/>
      <c r="J429" s="3" t="s">
        <v>2399</v>
      </c>
      <c r="K429" s="3">
        <v>122219000</v>
      </c>
      <c r="L429" s="3" t="s">
        <v>2400</v>
      </c>
    </row>
    <row r="430" spans="1:12" x14ac:dyDescent="0.2">
      <c r="A430" s="1" t="s">
        <v>2401</v>
      </c>
      <c r="B430" s="2" t="str">
        <f>HYPERLINK("https://docket.philalegal.org/cgi-bin/proxy.pl?ct=230802088","230802088")</f>
        <v>230802088</v>
      </c>
      <c r="C430" s="3" t="s">
        <v>185</v>
      </c>
      <c r="D430" s="3" t="s">
        <v>208</v>
      </c>
      <c r="E430" s="3" t="s">
        <v>185</v>
      </c>
      <c r="F430" s="3" t="s">
        <v>188</v>
      </c>
      <c r="G430" s="3" t="s">
        <v>3744</v>
      </c>
      <c r="H430" s="3" t="s">
        <v>2402</v>
      </c>
      <c r="I430" s="3"/>
      <c r="J430" s="3" t="s">
        <v>2403</v>
      </c>
      <c r="K430" s="3">
        <v>171186800</v>
      </c>
      <c r="L430" s="3" t="s">
        <v>2404</v>
      </c>
    </row>
    <row r="431" spans="1:12" x14ac:dyDescent="0.2">
      <c r="A431" s="1" t="s">
        <v>2405</v>
      </c>
      <c r="B431" s="2" t="str">
        <f>HYPERLINK("https://docket.philalegal.org/cgi-bin/proxy.pl?ct=131000302","131000302")</f>
        <v>131000302</v>
      </c>
      <c r="C431" s="3" t="s">
        <v>2406</v>
      </c>
      <c r="D431" s="3" t="s">
        <v>88</v>
      </c>
      <c r="E431" s="3" t="s">
        <v>35</v>
      </c>
      <c r="F431" s="3" t="s">
        <v>36</v>
      </c>
      <c r="G431" s="3" t="s">
        <v>2407</v>
      </c>
      <c r="H431" s="3" t="s">
        <v>2407</v>
      </c>
      <c r="I431" s="3" t="s">
        <v>1440</v>
      </c>
      <c r="J431" s="3" t="s">
        <v>2408</v>
      </c>
      <c r="K431" s="3" t="s">
        <v>2409</v>
      </c>
      <c r="L431" s="3" t="s">
        <v>2410</v>
      </c>
    </row>
    <row r="432" spans="1:12" x14ac:dyDescent="0.2">
      <c r="A432" s="1" t="s">
        <v>2411</v>
      </c>
      <c r="B432" s="2" t="str">
        <f>HYPERLINK("https://docket.philalegal.org/cgi-bin/proxy.pl?ct=160100905","160100905")</f>
        <v>160100905</v>
      </c>
      <c r="C432" s="3" t="s">
        <v>1366</v>
      </c>
      <c r="D432" s="3" t="s">
        <v>13</v>
      </c>
      <c r="E432" s="3" t="s">
        <v>35</v>
      </c>
      <c r="F432" s="3" t="s">
        <v>173</v>
      </c>
      <c r="G432" s="3" t="s">
        <v>3662</v>
      </c>
      <c r="H432" s="3" t="s">
        <v>2412</v>
      </c>
      <c r="I432" s="3"/>
      <c r="J432" s="3" t="s">
        <v>1368</v>
      </c>
      <c r="K432" s="3">
        <v>251323000</v>
      </c>
      <c r="L432" s="3" t="s">
        <v>2413</v>
      </c>
    </row>
    <row r="433" spans="1:12" x14ac:dyDescent="0.2">
      <c r="A433" s="1" t="s">
        <v>2414</v>
      </c>
      <c r="B433" s="2" t="str">
        <f>HYPERLINK("https://docket.philalegal.org/cgi-bin/proxy.pl?ct=231101697","231101697")</f>
        <v>231101697</v>
      </c>
      <c r="C433" s="3" t="s">
        <v>2415</v>
      </c>
      <c r="D433" s="3" t="s">
        <v>208</v>
      </c>
      <c r="E433" s="3" t="s">
        <v>1036</v>
      </c>
      <c r="F433" s="3"/>
      <c r="G433" s="3" t="s">
        <v>2416</v>
      </c>
      <c r="H433" s="3" t="s">
        <v>2416</v>
      </c>
      <c r="I433" s="3"/>
      <c r="J433" s="3" t="s">
        <v>2417</v>
      </c>
      <c r="K433" s="3" t="s">
        <v>2418</v>
      </c>
      <c r="L433" s="3" t="s">
        <v>2419</v>
      </c>
    </row>
    <row r="434" spans="1:12" x14ac:dyDescent="0.2">
      <c r="A434" s="1" t="s">
        <v>2420</v>
      </c>
      <c r="B434" s="2" t="str">
        <f>HYPERLINK("https://docket.philalegal.org/cgi-bin/proxy.pl?ct=160903468","160903468")</f>
        <v>160903468</v>
      </c>
      <c r="C434" s="3" t="s">
        <v>2421</v>
      </c>
      <c r="D434" s="3" t="s">
        <v>13</v>
      </c>
      <c r="E434" s="3" t="s">
        <v>2422</v>
      </c>
      <c r="F434" s="3" t="s">
        <v>2423</v>
      </c>
      <c r="G434" s="3" t="s">
        <v>2424</v>
      </c>
      <c r="H434" s="3" t="s">
        <v>2424</v>
      </c>
      <c r="I434" s="3"/>
      <c r="J434" s="3" t="s">
        <v>2425</v>
      </c>
      <c r="K434" s="3" t="s">
        <v>2426</v>
      </c>
      <c r="L434" s="3" t="s">
        <v>2427</v>
      </c>
    </row>
    <row r="435" spans="1:12" x14ac:dyDescent="0.2">
      <c r="A435" s="1" t="s">
        <v>2428</v>
      </c>
      <c r="B435" s="2" t="str">
        <f>HYPERLINK("https://docket.philalegal.org/cgi-bin/proxy.pl?ct=230800545","230800545")</f>
        <v>230800545</v>
      </c>
      <c r="C435" s="3" t="s">
        <v>293</v>
      </c>
      <c r="D435" s="3" t="s">
        <v>208</v>
      </c>
      <c r="E435" s="3" t="s">
        <v>187</v>
      </c>
      <c r="F435" s="3" t="s">
        <v>210</v>
      </c>
      <c r="G435" s="3" t="s">
        <v>3745</v>
      </c>
      <c r="H435" s="3" t="s">
        <v>2429</v>
      </c>
      <c r="I435" s="3"/>
      <c r="J435" s="3" t="s">
        <v>2430</v>
      </c>
      <c r="K435" s="3" t="s">
        <v>2431</v>
      </c>
      <c r="L435" s="3" t="s">
        <v>2432</v>
      </c>
    </row>
    <row r="436" spans="1:12" x14ac:dyDescent="0.2">
      <c r="A436" s="1" t="s">
        <v>2433</v>
      </c>
      <c r="B436" s="2" t="str">
        <f>HYPERLINK("https://docket.philalegal.org/cgi-bin/proxy.pl?ct=150700628","150700628")</f>
        <v>150700628</v>
      </c>
      <c r="C436" s="3" t="s">
        <v>2434</v>
      </c>
      <c r="D436" s="3" t="s">
        <v>13</v>
      </c>
      <c r="E436" s="3" t="s">
        <v>731</v>
      </c>
      <c r="F436" s="3" t="s">
        <v>732</v>
      </c>
      <c r="G436" s="3" t="s">
        <v>3746</v>
      </c>
      <c r="H436" s="3" t="s">
        <v>2435</v>
      </c>
      <c r="I436" s="3" t="s">
        <v>2436</v>
      </c>
      <c r="J436" s="3" t="s">
        <v>2437</v>
      </c>
      <c r="K436" s="3" t="s">
        <v>2438</v>
      </c>
      <c r="L436" s="3" t="s">
        <v>2439</v>
      </c>
    </row>
    <row r="437" spans="1:12" x14ac:dyDescent="0.2">
      <c r="A437" s="1" t="s">
        <v>2440</v>
      </c>
      <c r="B437" s="2" t="str">
        <f>HYPERLINK("https://docket.philalegal.org/cgi-bin/proxy.pl?ct=151001855","151001855")</f>
        <v>151001855</v>
      </c>
      <c r="C437" s="3" t="s">
        <v>2441</v>
      </c>
      <c r="D437" s="3" t="s">
        <v>13</v>
      </c>
      <c r="E437" s="3" t="s">
        <v>2442</v>
      </c>
      <c r="F437" s="3" t="s">
        <v>129</v>
      </c>
      <c r="G437" s="3" t="s">
        <v>3747</v>
      </c>
      <c r="H437" s="3" t="s">
        <v>2443</v>
      </c>
      <c r="I437" s="3" t="s">
        <v>2444</v>
      </c>
      <c r="J437" s="3" t="s">
        <v>2445</v>
      </c>
      <c r="K437" s="3">
        <v>182213700</v>
      </c>
      <c r="L437" s="3" t="s">
        <v>2446</v>
      </c>
    </row>
    <row r="438" spans="1:12" x14ac:dyDescent="0.2">
      <c r="A438" s="1" t="s">
        <v>2447</v>
      </c>
      <c r="B438" s="2" t="str">
        <f>HYPERLINK("https://docket.philalegal.org/cgi-bin/proxy.pl?ct=190400654","190400654")</f>
        <v>190400654</v>
      </c>
      <c r="C438" s="3" t="s">
        <v>2448</v>
      </c>
      <c r="D438" s="3" t="s">
        <v>13</v>
      </c>
      <c r="E438" s="3" t="s">
        <v>2345</v>
      </c>
      <c r="F438" s="3" t="s">
        <v>36</v>
      </c>
      <c r="G438" s="3" t="s">
        <v>2346</v>
      </c>
      <c r="H438" s="3" t="s">
        <v>2346</v>
      </c>
      <c r="I438" s="3"/>
      <c r="J438" s="3" t="s">
        <v>2347</v>
      </c>
      <c r="K438" s="3">
        <v>431011300</v>
      </c>
      <c r="L438" s="3" t="s">
        <v>2449</v>
      </c>
    </row>
    <row r="439" spans="1:12" x14ac:dyDescent="0.2">
      <c r="A439" s="1" t="s">
        <v>2450</v>
      </c>
      <c r="B439" s="2" t="str">
        <f>HYPERLINK("https://docket.philalegal.org/cgi-bin/proxy.pl?ct=170702246","170702246")</f>
        <v>170702246</v>
      </c>
      <c r="C439" s="3" t="s">
        <v>2451</v>
      </c>
      <c r="D439" s="3" t="s">
        <v>13</v>
      </c>
      <c r="E439" s="3" t="s">
        <v>2452</v>
      </c>
      <c r="F439" s="3" t="s">
        <v>210</v>
      </c>
      <c r="G439" s="3" t="s">
        <v>2453</v>
      </c>
      <c r="H439" s="3" t="s">
        <v>2453</v>
      </c>
      <c r="I439" s="3" t="s">
        <v>420</v>
      </c>
      <c r="J439" s="3" t="s">
        <v>2454</v>
      </c>
      <c r="K439" s="3">
        <v>363020500</v>
      </c>
      <c r="L439" s="3" t="s">
        <v>2455</v>
      </c>
    </row>
    <row r="440" spans="1:12" x14ac:dyDescent="0.2">
      <c r="A440" s="1" t="s">
        <v>2456</v>
      </c>
      <c r="B440" s="2" t="str">
        <f>HYPERLINK("https://docket.philalegal.org/cgi-bin/proxy.pl?ct=190101997","190101997")</f>
        <v>190101997</v>
      </c>
      <c r="C440" s="3" t="s">
        <v>185</v>
      </c>
      <c r="D440" s="3" t="s">
        <v>18</v>
      </c>
      <c r="E440" s="3" t="s">
        <v>187</v>
      </c>
      <c r="F440" s="3" t="s">
        <v>688</v>
      </c>
      <c r="G440" s="3" t="s">
        <v>3748</v>
      </c>
      <c r="H440" s="3" t="s">
        <v>2457</v>
      </c>
      <c r="I440" s="3"/>
      <c r="J440" s="3" t="s">
        <v>2458</v>
      </c>
      <c r="K440" s="3">
        <v>471084800</v>
      </c>
      <c r="L440" s="3" t="s">
        <v>2459</v>
      </c>
    </row>
    <row r="441" spans="1:12" x14ac:dyDescent="0.2">
      <c r="A441" s="1" t="s">
        <v>2460</v>
      </c>
      <c r="B441" s="2" t="str">
        <f>HYPERLINK("https://docket.philalegal.org/cgi-bin/proxy.pl?ct=160302289","160302289")</f>
        <v>160302289</v>
      </c>
      <c r="C441" s="3" t="s">
        <v>2461</v>
      </c>
      <c r="D441" s="3" t="s">
        <v>152</v>
      </c>
      <c r="E441" s="3" t="s">
        <v>153</v>
      </c>
      <c r="F441" s="3" t="s">
        <v>14</v>
      </c>
      <c r="G441" s="3"/>
      <c r="H441" s="3" t="s">
        <v>2462</v>
      </c>
      <c r="I441" s="3"/>
      <c r="J441" s="3" t="s">
        <v>2463</v>
      </c>
      <c r="K441" s="3">
        <v>871548040</v>
      </c>
      <c r="L441" s="3" t="s">
        <v>156</v>
      </c>
    </row>
    <row r="442" spans="1:12" x14ac:dyDescent="0.2">
      <c r="A442" s="1" t="s">
        <v>2464</v>
      </c>
      <c r="B442" s="2" t="str">
        <f>HYPERLINK("https://docket.philalegal.org/cgi-bin/proxy.pl?ct=210101224","210101224")</f>
        <v>210101224</v>
      </c>
      <c r="C442" s="3" t="s">
        <v>2465</v>
      </c>
      <c r="D442" s="3" t="s">
        <v>13</v>
      </c>
      <c r="E442" s="3" t="s">
        <v>43</v>
      </c>
      <c r="F442" s="3" t="s">
        <v>44</v>
      </c>
      <c r="G442" s="3"/>
      <c r="H442" s="3" t="s">
        <v>2466</v>
      </c>
      <c r="I442" s="3" t="s">
        <v>2467</v>
      </c>
      <c r="J442" s="3" t="s">
        <v>2468</v>
      </c>
      <c r="K442" s="3">
        <v>243218300</v>
      </c>
      <c r="L442" s="3" t="s">
        <v>2469</v>
      </c>
    </row>
    <row r="443" spans="1:12" x14ac:dyDescent="0.2">
      <c r="A443" s="1" t="s">
        <v>2470</v>
      </c>
      <c r="B443" s="2" t="str">
        <f>HYPERLINK("https://docket.philalegal.org/cgi-bin/proxy.pl?ct=220402295","220402295")</f>
        <v>220402295</v>
      </c>
      <c r="C443" s="3" t="s">
        <v>185</v>
      </c>
      <c r="D443" s="3" t="s">
        <v>18</v>
      </c>
      <c r="E443" s="3" t="s">
        <v>187</v>
      </c>
      <c r="F443" s="3" t="s">
        <v>210</v>
      </c>
      <c r="G443" s="3" t="s">
        <v>3749</v>
      </c>
      <c r="H443" s="3" t="s">
        <v>2471</v>
      </c>
      <c r="I443" s="3"/>
      <c r="J443" s="3" t="s">
        <v>2472</v>
      </c>
      <c r="K443" s="3">
        <v>323095200</v>
      </c>
      <c r="L443" s="3" t="s">
        <v>267</v>
      </c>
    </row>
    <row r="444" spans="1:12" x14ac:dyDescent="0.2">
      <c r="A444" s="1" t="s">
        <v>2473</v>
      </c>
      <c r="B444" s="2" t="str">
        <f>HYPERLINK("https://docket.philalegal.org/cgi-bin/proxy.pl?ct=161004685","161004685")</f>
        <v>161004685</v>
      </c>
      <c r="C444" s="3" t="s">
        <v>2474</v>
      </c>
      <c r="D444" s="3" t="s">
        <v>13</v>
      </c>
      <c r="E444" s="3" t="s">
        <v>636</v>
      </c>
      <c r="F444" s="3" t="s">
        <v>202</v>
      </c>
      <c r="G444" s="3" t="s">
        <v>3750</v>
      </c>
      <c r="H444" s="3" t="s">
        <v>2475</v>
      </c>
      <c r="I444" s="3" t="s">
        <v>2476</v>
      </c>
      <c r="J444" s="3" t="s">
        <v>2477</v>
      </c>
      <c r="K444" s="3" t="s">
        <v>2478</v>
      </c>
      <c r="L444" s="3" t="s">
        <v>2479</v>
      </c>
    </row>
    <row r="445" spans="1:12" x14ac:dyDescent="0.2">
      <c r="A445" s="1" t="s">
        <v>2480</v>
      </c>
      <c r="B445" s="2" t="str">
        <f>HYPERLINK("https://docket.philalegal.org/cgi-bin/proxy.pl?ct=180501229","180501229")</f>
        <v>180501229</v>
      </c>
      <c r="C445" s="3" t="s">
        <v>2481</v>
      </c>
      <c r="D445" s="3" t="s">
        <v>18</v>
      </c>
      <c r="E445" s="3" t="s">
        <v>230</v>
      </c>
      <c r="F445" s="3" t="s">
        <v>173</v>
      </c>
      <c r="G445" s="3" t="s">
        <v>3751</v>
      </c>
      <c r="H445" s="3" t="s">
        <v>2482</v>
      </c>
      <c r="I445" s="3"/>
      <c r="J445" s="3" t="s">
        <v>2483</v>
      </c>
      <c r="K445" s="3">
        <v>481041200</v>
      </c>
      <c r="L445" s="3" t="s">
        <v>2484</v>
      </c>
    </row>
    <row r="446" spans="1:12" x14ac:dyDescent="0.2">
      <c r="A446" s="1" t="s">
        <v>2485</v>
      </c>
      <c r="B446" s="2" t="str">
        <f>HYPERLINK("https://docket.philalegal.org/cgi-bin/proxy.pl?ct=230303512","230303512")</f>
        <v>230303512</v>
      </c>
      <c r="C446" s="3" t="s">
        <v>2486</v>
      </c>
      <c r="D446" s="3" t="s">
        <v>216</v>
      </c>
      <c r="E446" s="3" t="s">
        <v>2487</v>
      </c>
      <c r="F446" s="3" t="s">
        <v>36</v>
      </c>
      <c r="G446" s="3" t="s">
        <v>2488</v>
      </c>
      <c r="H446" s="3" t="s">
        <v>2488</v>
      </c>
      <c r="I446" s="3" t="s">
        <v>2489</v>
      </c>
      <c r="J446" s="3" t="s">
        <v>2490</v>
      </c>
      <c r="K446" s="3" t="s">
        <v>2491</v>
      </c>
      <c r="L446" s="3" t="s">
        <v>2492</v>
      </c>
    </row>
    <row r="447" spans="1:12" x14ac:dyDescent="0.2">
      <c r="A447" s="1" t="s">
        <v>2493</v>
      </c>
      <c r="B447" s="2" t="str">
        <f>HYPERLINK("https://docket.philalegal.org/cgi-bin/proxy.pl?ct=180700015","180700015")</f>
        <v>180700015</v>
      </c>
      <c r="C447" s="3" t="s">
        <v>1560</v>
      </c>
      <c r="D447" s="3" t="s">
        <v>13</v>
      </c>
      <c r="E447" s="3" t="s">
        <v>230</v>
      </c>
      <c r="F447" s="3" t="s">
        <v>899</v>
      </c>
      <c r="G447" s="3" t="s">
        <v>3752</v>
      </c>
      <c r="H447" s="3" t="s">
        <v>2494</v>
      </c>
      <c r="I447" s="3"/>
      <c r="J447" s="3" t="s">
        <v>1252</v>
      </c>
      <c r="K447" s="3">
        <v>362046200</v>
      </c>
      <c r="L447" s="3" t="s">
        <v>2495</v>
      </c>
    </row>
    <row r="448" spans="1:12" x14ac:dyDescent="0.2">
      <c r="A448" s="1" t="s">
        <v>2496</v>
      </c>
      <c r="B448" s="2" t="str">
        <f>HYPERLINK("https://docket.philalegal.org/cgi-bin/proxy.pl?ct=140403566","140403566")</f>
        <v>140403566</v>
      </c>
      <c r="C448" s="3" t="s">
        <v>2497</v>
      </c>
      <c r="D448" s="3" t="s">
        <v>13</v>
      </c>
      <c r="E448" s="3" t="s">
        <v>731</v>
      </c>
      <c r="F448" s="3" t="s">
        <v>732</v>
      </c>
      <c r="G448" s="3" t="s">
        <v>2498</v>
      </c>
      <c r="H448" s="3" t="s">
        <v>2498</v>
      </c>
      <c r="I448" s="3" t="s">
        <v>282</v>
      </c>
      <c r="J448" s="3" t="s">
        <v>2437</v>
      </c>
      <c r="K448" s="3" t="s">
        <v>2438</v>
      </c>
      <c r="L448" s="3" t="s">
        <v>2499</v>
      </c>
    </row>
    <row r="449" spans="1:12" x14ac:dyDescent="0.2">
      <c r="A449" s="1" t="s">
        <v>2500</v>
      </c>
      <c r="B449" s="2" t="str">
        <f>HYPERLINK("https://docket.philalegal.org/cgi-bin/proxy.pl?ct=230601397","230601397")</f>
        <v>230601397</v>
      </c>
      <c r="C449" s="3" t="s">
        <v>2501</v>
      </c>
      <c r="D449" s="3" t="s">
        <v>208</v>
      </c>
      <c r="E449" s="3" t="s">
        <v>35</v>
      </c>
      <c r="F449" s="3" t="s">
        <v>2502</v>
      </c>
      <c r="G449" s="3" t="s">
        <v>3753</v>
      </c>
      <c r="H449" s="3" t="s">
        <v>2503</v>
      </c>
      <c r="I449" s="3"/>
      <c r="J449" s="3" t="s">
        <v>2504</v>
      </c>
      <c r="K449" s="3">
        <v>881608400</v>
      </c>
      <c r="L449" s="3" t="s">
        <v>2505</v>
      </c>
    </row>
    <row r="450" spans="1:12" x14ac:dyDescent="0.2">
      <c r="A450" s="1" t="s">
        <v>2506</v>
      </c>
      <c r="B450" s="2" t="str">
        <f>HYPERLINK("https://docket.philalegal.org/cgi-bin/proxy.pl?ct=140700650","140700650")</f>
        <v>140700650</v>
      </c>
      <c r="C450" s="3" t="s">
        <v>1437</v>
      </c>
      <c r="D450" s="3" t="s">
        <v>18</v>
      </c>
      <c r="E450" s="3" t="s">
        <v>1438</v>
      </c>
      <c r="F450" s="3" t="s">
        <v>36</v>
      </c>
      <c r="G450" s="3"/>
      <c r="H450" s="3" t="s">
        <v>1439</v>
      </c>
      <c r="I450" s="3" t="s">
        <v>1440</v>
      </c>
      <c r="J450" s="3" t="s">
        <v>2507</v>
      </c>
      <c r="K450" s="3">
        <v>182202500</v>
      </c>
      <c r="L450" s="3" t="s">
        <v>2508</v>
      </c>
    </row>
    <row r="451" spans="1:12" x14ac:dyDescent="0.2">
      <c r="A451" s="1" t="s">
        <v>2509</v>
      </c>
      <c r="B451" s="2" t="str">
        <f>HYPERLINK("https://docket.philalegal.org/cgi-bin/proxy.pl?ct=211100110","211100110")</f>
        <v>211100110</v>
      </c>
      <c r="C451" s="3" t="s">
        <v>2510</v>
      </c>
      <c r="D451" s="3" t="s">
        <v>1075</v>
      </c>
      <c r="E451" s="3" t="s">
        <v>194</v>
      </c>
      <c r="F451" s="3" t="s">
        <v>2511</v>
      </c>
      <c r="G451" s="3" t="s">
        <v>3754</v>
      </c>
      <c r="H451" s="3" t="s">
        <v>2512</v>
      </c>
      <c r="I451" s="3" t="s">
        <v>2513</v>
      </c>
      <c r="J451" s="3" t="s">
        <v>2514</v>
      </c>
      <c r="K451" s="3">
        <v>302084300</v>
      </c>
      <c r="L451" s="3" t="s">
        <v>2515</v>
      </c>
    </row>
    <row r="452" spans="1:12" x14ac:dyDescent="0.2">
      <c r="A452" s="1" t="s">
        <v>2516</v>
      </c>
      <c r="B452" s="2" t="str">
        <f>HYPERLINK("https://docket.philalegal.org/cgi-bin/proxy.pl?ct=170900198","170900198")</f>
        <v>170900198</v>
      </c>
      <c r="C452" s="3" t="s">
        <v>2018</v>
      </c>
      <c r="D452" s="3" t="s">
        <v>18</v>
      </c>
      <c r="E452" s="3" t="s">
        <v>1332</v>
      </c>
      <c r="F452" s="3" t="s">
        <v>313</v>
      </c>
      <c r="G452" s="3" t="s">
        <v>2019</v>
      </c>
      <c r="H452" s="3" t="s">
        <v>2019</v>
      </c>
      <c r="I452" s="3" t="s">
        <v>2020</v>
      </c>
      <c r="J452" s="3" t="s">
        <v>2517</v>
      </c>
      <c r="K452" s="3">
        <v>882017790</v>
      </c>
      <c r="L452" s="3" t="s">
        <v>2022</v>
      </c>
    </row>
    <row r="453" spans="1:12" x14ac:dyDescent="0.2">
      <c r="A453" s="1" t="s">
        <v>2518</v>
      </c>
      <c r="B453" s="2" t="str">
        <f>HYPERLINK("https://docket.philalegal.org/cgi-bin/proxy.pl?ct=180901266","180901266")</f>
        <v>180901266</v>
      </c>
      <c r="C453" s="3" t="s">
        <v>704</v>
      </c>
      <c r="D453" s="3" t="s">
        <v>13</v>
      </c>
      <c r="E453" s="3" t="s">
        <v>187</v>
      </c>
      <c r="F453" s="3" t="s">
        <v>271</v>
      </c>
      <c r="G453" s="3"/>
      <c r="H453" s="3" t="s">
        <v>2519</v>
      </c>
      <c r="I453" s="3" t="s">
        <v>925</v>
      </c>
      <c r="J453" s="3" t="s">
        <v>2520</v>
      </c>
      <c r="K453" s="3">
        <v>291306010</v>
      </c>
      <c r="L453" s="3" t="s">
        <v>2521</v>
      </c>
    </row>
    <row r="454" spans="1:12" x14ac:dyDescent="0.2">
      <c r="A454" s="1" t="s">
        <v>2522</v>
      </c>
      <c r="B454" s="2" t="str">
        <f>HYPERLINK("https://docket.philalegal.org/cgi-bin/proxy.pl?ct=220902274","220902274")</f>
        <v>220902274</v>
      </c>
      <c r="C454" s="3" t="s">
        <v>2523</v>
      </c>
      <c r="D454" s="3" t="s">
        <v>13</v>
      </c>
      <c r="E454" s="3" t="s">
        <v>2524</v>
      </c>
      <c r="F454" s="3" t="s">
        <v>36</v>
      </c>
      <c r="G454" s="3"/>
      <c r="H454" s="3" t="s">
        <v>2525</v>
      </c>
      <c r="I454" s="3" t="s">
        <v>188</v>
      </c>
      <c r="J454" s="3" t="s">
        <v>2526</v>
      </c>
      <c r="K454" s="3">
        <v>471231800</v>
      </c>
      <c r="L454" s="3" t="s">
        <v>2527</v>
      </c>
    </row>
    <row r="455" spans="1:12" x14ac:dyDescent="0.2">
      <c r="A455" s="1" t="s">
        <v>2528</v>
      </c>
      <c r="B455" s="2" t="str">
        <f>HYPERLINK("https://docket.philalegal.org/cgi-bin/proxy.pl?ct=230901538","230901538")</f>
        <v>230901538</v>
      </c>
      <c r="C455" s="3" t="s">
        <v>185</v>
      </c>
      <c r="D455" s="3" t="s">
        <v>208</v>
      </c>
      <c r="E455" s="3" t="s">
        <v>185</v>
      </c>
      <c r="F455" s="3" t="s">
        <v>188</v>
      </c>
      <c r="G455" s="3" t="s">
        <v>789</v>
      </c>
      <c r="H455" s="3" t="s">
        <v>789</v>
      </c>
      <c r="I455" s="3"/>
      <c r="J455" s="3" t="s">
        <v>790</v>
      </c>
      <c r="K455" s="3">
        <v>884350995</v>
      </c>
      <c r="L455" s="3" t="s">
        <v>2529</v>
      </c>
    </row>
    <row r="456" spans="1:12" x14ac:dyDescent="0.2">
      <c r="A456" s="1" t="s">
        <v>2530</v>
      </c>
      <c r="B456" s="2" t="str">
        <f>HYPERLINK("https://docket.philalegal.org/cgi-bin/proxy.pl?ct=161200232","161200232")</f>
        <v>161200232</v>
      </c>
      <c r="C456" s="3" t="s">
        <v>2531</v>
      </c>
      <c r="D456" s="3" t="s">
        <v>2532</v>
      </c>
      <c r="E456" s="3" t="s">
        <v>35</v>
      </c>
      <c r="F456" s="3" t="s">
        <v>2533</v>
      </c>
      <c r="G456" s="3" t="s">
        <v>3755</v>
      </c>
      <c r="H456" s="3" t="s">
        <v>2534</v>
      </c>
      <c r="I456" s="3" t="s">
        <v>2535</v>
      </c>
      <c r="J456" s="3" t="s">
        <v>2536</v>
      </c>
      <c r="K456" s="3">
        <v>884351737</v>
      </c>
      <c r="L456" s="3" t="s">
        <v>2537</v>
      </c>
    </row>
    <row r="457" spans="1:12" x14ac:dyDescent="0.2">
      <c r="A457" s="1" t="s">
        <v>2538</v>
      </c>
      <c r="B457" s="2" t="str">
        <f>HYPERLINK("https://docket.philalegal.org/cgi-bin/proxy.pl?ct=131000147","131000147")</f>
        <v>131000147</v>
      </c>
      <c r="C457" s="3" t="s">
        <v>2539</v>
      </c>
      <c r="D457" s="3" t="s">
        <v>18</v>
      </c>
      <c r="E457" s="3" t="s">
        <v>35</v>
      </c>
      <c r="F457" s="3" t="s">
        <v>36</v>
      </c>
      <c r="G457" s="3" t="s">
        <v>2540</v>
      </c>
      <c r="H457" s="3" t="s">
        <v>2540</v>
      </c>
      <c r="I457" s="3" t="s">
        <v>2541</v>
      </c>
      <c r="J457" s="3" t="s">
        <v>2542</v>
      </c>
      <c r="K457" s="3">
        <v>365364500</v>
      </c>
      <c r="L457" s="3" t="s">
        <v>1738</v>
      </c>
    </row>
    <row r="458" spans="1:12" x14ac:dyDescent="0.2">
      <c r="A458" s="1" t="s">
        <v>2543</v>
      </c>
      <c r="B458" s="2" t="str">
        <f>HYPERLINK("https://docket.philalegal.org/cgi-bin/proxy.pl?ct=220102457","220102457")</f>
        <v>220102457</v>
      </c>
      <c r="C458" s="3" t="s">
        <v>185</v>
      </c>
      <c r="D458" s="3" t="s">
        <v>18</v>
      </c>
      <c r="E458" s="3" t="s">
        <v>187</v>
      </c>
      <c r="F458" s="3" t="s">
        <v>1321</v>
      </c>
      <c r="G458" s="3" t="s">
        <v>2544</v>
      </c>
      <c r="H458" s="3" t="s">
        <v>2544</v>
      </c>
      <c r="I458" s="3"/>
      <c r="J458" s="3" t="s">
        <v>2545</v>
      </c>
      <c r="K458" s="3">
        <v>202168100</v>
      </c>
      <c r="L458" s="3" t="s">
        <v>267</v>
      </c>
    </row>
    <row r="459" spans="1:12" x14ac:dyDescent="0.2">
      <c r="A459" s="1" t="s">
        <v>2546</v>
      </c>
      <c r="B459" s="2" t="str">
        <f>HYPERLINK("https://docket.philalegal.org/cgi-bin/proxy.pl?ct=180501271","180501271")</f>
        <v>180501271</v>
      </c>
      <c r="C459" s="3" t="s">
        <v>2547</v>
      </c>
      <c r="D459" s="3" t="s">
        <v>13</v>
      </c>
      <c r="E459" s="3" t="s">
        <v>1566</v>
      </c>
      <c r="F459" s="3" t="s">
        <v>173</v>
      </c>
      <c r="G459" s="3" t="s">
        <v>3756</v>
      </c>
      <c r="H459" s="3" t="s">
        <v>2548</v>
      </c>
      <c r="I459" s="3" t="s">
        <v>561</v>
      </c>
      <c r="J459" s="3" t="s">
        <v>2549</v>
      </c>
      <c r="K459" s="3">
        <v>871542650</v>
      </c>
      <c r="L459" s="3" t="s">
        <v>2550</v>
      </c>
    </row>
    <row r="460" spans="1:12" x14ac:dyDescent="0.2">
      <c r="A460" s="1" t="s">
        <v>2551</v>
      </c>
      <c r="B460" s="2" t="str">
        <f>HYPERLINK("https://docket.philalegal.org/cgi-bin/proxy.pl?ct=210800153","210800153")</f>
        <v>210800153</v>
      </c>
      <c r="C460" s="3" t="s">
        <v>2552</v>
      </c>
      <c r="D460" s="3" t="s">
        <v>18</v>
      </c>
      <c r="E460" s="3" t="s">
        <v>2553</v>
      </c>
      <c r="F460" s="3" t="s">
        <v>461</v>
      </c>
      <c r="G460" s="3" t="s">
        <v>3757</v>
      </c>
      <c r="H460" s="3" t="s">
        <v>2554</v>
      </c>
      <c r="I460" s="3" t="s">
        <v>2555</v>
      </c>
      <c r="J460" s="3" t="s">
        <v>2556</v>
      </c>
      <c r="K460" s="3" t="s">
        <v>2557</v>
      </c>
      <c r="L460" s="3" t="s">
        <v>2558</v>
      </c>
    </row>
    <row r="461" spans="1:12" x14ac:dyDescent="0.2">
      <c r="A461" s="1" t="s">
        <v>2559</v>
      </c>
      <c r="B461" s="2" t="str">
        <f>HYPERLINK("https://docket.philalegal.org/cgi-bin/proxy.pl?ct=190501732","190501732")</f>
        <v>190501732</v>
      </c>
      <c r="C461" s="3" t="s">
        <v>185</v>
      </c>
      <c r="D461" s="3" t="s">
        <v>18</v>
      </c>
      <c r="E461" s="3" t="s">
        <v>187</v>
      </c>
      <c r="F461" s="3" t="s">
        <v>210</v>
      </c>
      <c r="G461" s="3" t="s">
        <v>3758</v>
      </c>
      <c r="H461" s="3" t="s">
        <v>2560</v>
      </c>
      <c r="I461" s="3"/>
      <c r="J461" s="3" t="s">
        <v>2561</v>
      </c>
      <c r="K461" s="3">
        <v>291125400</v>
      </c>
      <c r="L461" s="3" t="s">
        <v>267</v>
      </c>
    </row>
    <row r="462" spans="1:12" x14ac:dyDescent="0.2">
      <c r="A462" s="1" t="s">
        <v>2562</v>
      </c>
      <c r="B462" s="2" t="str">
        <f>HYPERLINK("https://docket.philalegal.org/cgi-bin/proxy.pl?ct=200101919","200101919")</f>
        <v>200101919</v>
      </c>
      <c r="C462" s="3" t="s">
        <v>2563</v>
      </c>
      <c r="D462" s="3" t="s">
        <v>18</v>
      </c>
      <c r="E462" s="3" t="s">
        <v>319</v>
      </c>
      <c r="F462" s="3" t="s">
        <v>320</v>
      </c>
      <c r="G462" s="3"/>
      <c r="H462" s="3" t="s">
        <v>2564</v>
      </c>
      <c r="I462" s="3"/>
      <c r="J462" s="3" t="s">
        <v>2565</v>
      </c>
      <c r="K462" s="3">
        <v>202071800</v>
      </c>
      <c r="L462" s="3" t="s">
        <v>2192</v>
      </c>
    </row>
    <row r="463" spans="1:12" x14ac:dyDescent="0.2">
      <c r="A463" s="1" t="s">
        <v>2566</v>
      </c>
      <c r="B463" s="2" t="str">
        <f>HYPERLINK("https://docket.philalegal.org/cgi-bin/proxy.pl?ct=190402842","190402842")</f>
        <v>190402842</v>
      </c>
      <c r="C463" s="3" t="s">
        <v>185</v>
      </c>
      <c r="D463" s="3" t="s">
        <v>18</v>
      </c>
      <c r="E463" s="3" t="s">
        <v>187</v>
      </c>
      <c r="F463" s="3" t="s">
        <v>688</v>
      </c>
      <c r="G463" s="3"/>
      <c r="H463" s="3" t="s">
        <v>2567</v>
      </c>
      <c r="I463" s="3"/>
      <c r="J463" s="3" t="s">
        <v>2568</v>
      </c>
      <c r="K463" s="3">
        <v>291336800</v>
      </c>
      <c r="L463" s="3" t="s">
        <v>267</v>
      </c>
    </row>
    <row r="464" spans="1:12" x14ac:dyDescent="0.2">
      <c r="A464" s="1" t="s">
        <v>2569</v>
      </c>
      <c r="B464" s="2" t="str">
        <f>HYPERLINK("https://docket.philalegal.org/cgi-bin/proxy.pl?ct=220501395","220501395")</f>
        <v>220501395</v>
      </c>
      <c r="C464" s="3" t="s">
        <v>2570</v>
      </c>
      <c r="D464" s="3" t="s">
        <v>216</v>
      </c>
      <c r="E464" s="3" t="s">
        <v>2571</v>
      </c>
      <c r="F464" s="3" t="s">
        <v>44</v>
      </c>
      <c r="G464" s="3" t="s">
        <v>3759</v>
      </c>
      <c r="H464" s="3" t="s">
        <v>2572</v>
      </c>
      <c r="I464" s="3"/>
      <c r="J464" s="3" t="s">
        <v>2573</v>
      </c>
      <c r="K464" s="3">
        <v>871069250</v>
      </c>
      <c r="L464" s="3" t="s">
        <v>2574</v>
      </c>
    </row>
    <row r="465" spans="1:12" x14ac:dyDescent="0.2">
      <c r="A465" s="1" t="s">
        <v>2575</v>
      </c>
      <c r="B465" s="2" t="str">
        <f>HYPERLINK("https://docket.philalegal.org/cgi-bin/proxy.pl?ct=170703802","170703802")</f>
        <v>170703802</v>
      </c>
      <c r="C465" s="3" t="s">
        <v>185</v>
      </c>
      <c r="D465" s="3" t="s">
        <v>13</v>
      </c>
      <c r="E465" s="3" t="s">
        <v>187</v>
      </c>
      <c r="F465" s="3" t="s">
        <v>210</v>
      </c>
      <c r="G465" s="3" t="s">
        <v>2829</v>
      </c>
      <c r="H465" s="3" t="s">
        <v>2576</v>
      </c>
      <c r="I465" s="3" t="s">
        <v>2577</v>
      </c>
      <c r="J465" s="3" t="s">
        <v>2578</v>
      </c>
      <c r="K465" s="3">
        <v>871510100</v>
      </c>
      <c r="L465" s="3" t="s">
        <v>2579</v>
      </c>
    </row>
    <row r="466" spans="1:12" x14ac:dyDescent="0.2">
      <c r="A466" s="1" t="s">
        <v>2580</v>
      </c>
      <c r="B466" s="2" t="str">
        <f>HYPERLINK("https://docket.philalegal.org/cgi-bin/proxy.pl?ct=160503131","160503131")</f>
        <v>160503131</v>
      </c>
      <c r="C466" s="3" t="s">
        <v>2581</v>
      </c>
      <c r="D466" s="3" t="s">
        <v>18</v>
      </c>
      <c r="E466" s="3" t="s">
        <v>2582</v>
      </c>
      <c r="F466" s="3" t="s">
        <v>173</v>
      </c>
      <c r="G466" s="3" t="s">
        <v>3760</v>
      </c>
      <c r="H466" s="3" t="s">
        <v>2583</v>
      </c>
      <c r="I466" s="3"/>
      <c r="J466" s="3" t="s">
        <v>2584</v>
      </c>
      <c r="K466" s="3">
        <v>471323000</v>
      </c>
      <c r="L466" s="3" t="s">
        <v>2585</v>
      </c>
    </row>
    <row r="467" spans="1:12" x14ac:dyDescent="0.2">
      <c r="A467" s="1" t="s">
        <v>2586</v>
      </c>
      <c r="B467" s="2" t="str">
        <f>HYPERLINK("https://docket.philalegal.org/cgi-bin/proxy.pl?ct=161001493","161001493")</f>
        <v>161001493</v>
      </c>
      <c r="C467" s="3" t="s">
        <v>2587</v>
      </c>
      <c r="D467" s="3" t="s">
        <v>13</v>
      </c>
      <c r="E467" s="3" t="s">
        <v>2588</v>
      </c>
      <c r="F467" s="3" t="s">
        <v>173</v>
      </c>
      <c r="G467" s="3" t="s">
        <v>2589</v>
      </c>
      <c r="H467" s="3" t="s">
        <v>2589</v>
      </c>
      <c r="I467" s="3"/>
      <c r="J467" s="3" t="s">
        <v>2590</v>
      </c>
      <c r="K467" s="3">
        <v>301410100</v>
      </c>
      <c r="L467" s="3" t="s">
        <v>2591</v>
      </c>
    </row>
    <row r="468" spans="1:12" x14ac:dyDescent="0.2">
      <c r="A468" s="1" t="s">
        <v>2592</v>
      </c>
      <c r="B468" s="2" t="str">
        <f>HYPERLINK("https://docket.philalegal.org/cgi-bin/proxy.pl?ct=180500022","180500022")</f>
        <v>180500022</v>
      </c>
      <c r="C468" s="3" t="s">
        <v>185</v>
      </c>
      <c r="D468" s="3" t="s">
        <v>18</v>
      </c>
      <c r="E468" s="3" t="s">
        <v>187</v>
      </c>
      <c r="F468" s="3" t="s">
        <v>210</v>
      </c>
      <c r="G468" s="3" t="s">
        <v>3761</v>
      </c>
      <c r="H468" s="3" t="s">
        <v>2593</v>
      </c>
      <c r="I468" s="3" t="s">
        <v>2594</v>
      </c>
      <c r="J468" s="3" t="s">
        <v>2595</v>
      </c>
      <c r="K468" s="3">
        <v>361073100</v>
      </c>
      <c r="L468" s="3" t="s">
        <v>267</v>
      </c>
    </row>
    <row r="469" spans="1:12" x14ac:dyDescent="0.2">
      <c r="A469" s="1" t="s">
        <v>2596</v>
      </c>
      <c r="B469" s="2" t="str">
        <f>HYPERLINK("https://docket.philalegal.org/cgi-bin/proxy.pl?ct=180702477","180702477")</f>
        <v>180702477</v>
      </c>
      <c r="C469" s="3" t="s">
        <v>2597</v>
      </c>
      <c r="D469" s="3" t="s">
        <v>18</v>
      </c>
      <c r="E469" s="3" t="s">
        <v>230</v>
      </c>
      <c r="F469" s="3" t="s">
        <v>395</v>
      </c>
      <c r="G469" s="3" t="s">
        <v>3762</v>
      </c>
      <c r="H469" s="3" t="s">
        <v>2598</v>
      </c>
      <c r="I469" s="3" t="s">
        <v>2599</v>
      </c>
      <c r="J469" s="3" t="s">
        <v>2600</v>
      </c>
      <c r="K469" s="3">
        <v>272016500</v>
      </c>
      <c r="L469" s="3" t="s">
        <v>2484</v>
      </c>
    </row>
    <row r="470" spans="1:12" x14ac:dyDescent="0.2">
      <c r="A470" s="1" t="s">
        <v>2601</v>
      </c>
      <c r="B470" s="2" t="str">
        <f>HYPERLINK("https://docket.philalegal.org/cgi-bin/proxy.pl?ct=161102370","161102370")</f>
        <v>161102370</v>
      </c>
      <c r="C470" s="3" t="s">
        <v>2602</v>
      </c>
      <c r="D470" s="3" t="s">
        <v>18</v>
      </c>
      <c r="E470" s="3" t="s">
        <v>2603</v>
      </c>
      <c r="F470" s="3" t="s">
        <v>173</v>
      </c>
      <c r="G470" s="3" t="s">
        <v>3763</v>
      </c>
      <c r="H470" s="3" t="s">
        <v>2604</v>
      </c>
      <c r="I470" s="3"/>
      <c r="J470" s="3" t="s">
        <v>2605</v>
      </c>
      <c r="K470" s="3">
        <v>183156200</v>
      </c>
      <c r="L470" s="3" t="s">
        <v>2606</v>
      </c>
    </row>
    <row r="471" spans="1:12" x14ac:dyDescent="0.2">
      <c r="A471" s="1" t="s">
        <v>2607</v>
      </c>
      <c r="B471" s="2" t="str">
        <f>HYPERLINK("https://docket.philalegal.org/cgi-bin/proxy.pl?ct=161202317","161202317")</f>
        <v>161202317</v>
      </c>
      <c r="C471" s="3" t="s">
        <v>2608</v>
      </c>
      <c r="D471" s="3" t="s">
        <v>13</v>
      </c>
      <c r="E471" s="3" t="s">
        <v>35</v>
      </c>
      <c r="F471" s="3" t="s">
        <v>173</v>
      </c>
      <c r="G471" s="3" t="s">
        <v>3764</v>
      </c>
      <c r="H471" s="3" t="s">
        <v>2609</v>
      </c>
      <c r="I471" s="3" t="s">
        <v>2610</v>
      </c>
      <c r="J471" s="3" t="s">
        <v>2611</v>
      </c>
      <c r="K471" s="3" t="s">
        <v>2612</v>
      </c>
      <c r="L471" s="3" t="s">
        <v>2613</v>
      </c>
    </row>
    <row r="472" spans="1:12" x14ac:dyDescent="0.2">
      <c r="A472" s="1" t="s">
        <v>2614</v>
      </c>
      <c r="B472" s="2" t="str">
        <f>HYPERLINK("https://docket.philalegal.org/cgi-bin/proxy.pl?ct=151000442","151000442")</f>
        <v>151000442</v>
      </c>
      <c r="C472" s="3" t="s">
        <v>2615</v>
      </c>
      <c r="D472" s="3" t="s">
        <v>13</v>
      </c>
      <c r="E472" s="3" t="s">
        <v>2053</v>
      </c>
      <c r="F472" s="3" t="s">
        <v>36</v>
      </c>
      <c r="G472" s="3"/>
      <c r="H472" s="3" t="s">
        <v>2616</v>
      </c>
      <c r="I472" s="3" t="s">
        <v>2617</v>
      </c>
      <c r="J472" s="3" t="s">
        <v>2618</v>
      </c>
      <c r="K472" s="3">
        <v>112001800</v>
      </c>
      <c r="L472" s="3" t="s">
        <v>2619</v>
      </c>
    </row>
    <row r="473" spans="1:12" x14ac:dyDescent="0.2">
      <c r="A473" s="1" t="s">
        <v>2620</v>
      </c>
      <c r="B473" s="2" t="str">
        <f>HYPERLINK("https://docket.philalegal.org/cgi-bin/proxy.pl?ct=150602773","150602773")</f>
        <v>150602773</v>
      </c>
      <c r="C473" s="3" t="s">
        <v>2621</v>
      </c>
      <c r="D473" s="3" t="s">
        <v>18</v>
      </c>
      <c r="E473" s="3" t="s">
        <v>35</v>
      </c>
      <c r="F473" s="3" t="s">
        <v>36</v>
      </c>
      <c r="G473" s="3"/>
      <c r="H473" s="3" t="s">
        <v>2622</v>
      </c>
      <c r="I473" s="3" t="s">
        <v>168</v>
      </c>
      <c r="J473" s="3" t="s">
        <v>2623</v>
      </c>
      <c r="K473" s="3">
        <v>365249400</v>
      </c>
      <c r="L473" s="3" t="s">
        <v>2624</v>
      </c>
    </row>
    <row r="474" spans="1:12" x14ac:dyDescent="0.2">
      <c r="A474" s="1" t="s">
        <v>2625</v>
      </c>
      <c r="B474" s="2" t="str">
        <f>HYPERLINK("https://docket.philalegal.org/cgi-bin/proxy.pl?ct=240101003","240101003")</f>
        <v>240101003</v>
      </c>
      <c r="C474" s="3" t="s">
        <v>2626</v>
      </c>
      <c r="D474" s="3" t="s">
        <v>216</v>
      </c>
      <c r="E474" s="3" t="s">
        <v>194</v>
      </c>
      <c r="F474" s="3" t="s">
        <v>1487</v>
      </c>
      <c r="G474" s="3" t="s">
        <v>2627</v>
      </c>
      <c r="H474" s="3" t="s">
        <v>2627</v>
      </c>
      <c r="I474" s="3"/>
      <c r="J474" s="3" t="s">
        <v>2628</v>
      </c>
      <c r="K474" s="3">
        <v>321084200</v>
      </c>
      <c r="L474" s="3" t="s">
        <v>2629</v>
      </c>
    </row>
    <row r="475" spans="1:12" x14ac:dyDescent="0.2">
      <c r="A475" s="1" t="s">
        <v>2630</v>
      </c>
      <c r="B475" s="2" t="str">
        <f>HYPERLINK("https://docket.philalegal.org/cgi-bin/proxy.pl?ct=170102593","170102593")</f>
        <v>170102593</v>
      </c>
      <c r="C475" s="3" t="s">
        <v>2631</v>
      </c>
      <c r="D475" s="3" t="s">
        <v>88</v>
      </c>
      <c r="E475" s="3" t="s">
        <v>35</v>
      </c>
      <c r="F475" s="3" t="s">
        <v>313</v>
      </c>
      <c r="G475" s="3"/>
      <c r="H475" s="3" t="s">
        <v>2632</v>
      </c>
      <c r="I475" s="3" t="s">
        <v>2633</v>
      </c>
      <c r="J475" s="3" t="s">
        <v>2634</v>
      </c>
      <c r="K475" s="3">
        <v>776288000</v>
      </c>
      <c r="L475" s="3" t="s">
        <v>2635</v>
      </c>
    </row>
    <row r="476" spans="1:12" x14ac:dyDescent="0.2">
      <c r="A476" s="1" t="s">
        <v>2636</v>
      </c>
      <c r="B476" s="2" t="str">
        <f>HYPERLINK("https://docket.philalegal.org/cgi-bin/proxy.pl?ct=190404496","190404496")</f>
        <v>190404496</v>
      </c>
      <c r="C476" s="3" t="s">
        <v>2637</v>
      </c>
      <c r="D476" s="3" t="s">
        <v>18</v>
      </c>
      <c r="E476" s="3" t="s">
        <v>2638</v>
      </c>
      <c r="F476" s="3" t="s">
        <v>36</v>
      </c>
      <c r="G476" s="3"/>
      <c r="H476" s="3" t="s">
        <v>2639</v>
      </c>
      <c r="I476" s="3"/>
      <c r="J476" s="3" t="s">
        <v>2640</v>
      </c>
      <c r="K476" s="3">
        <v>882660700</v>
      </c>
      <c r="L476" s="3" t="s">
        <v>2641</v>
      </c>
    </row>
    <row r="477" spans="1:12" x14ac:dyDescent="0.2">
      <c r="A477" s="1" t="s">
        <v>2642</v>
      </c>
      <c r="B477" s="2" t="str">
        <f>HYPERLINK("https://docket.philalegal.org/cgi-bin/proxy.pl?ct=150201970","150201970")</f>
        <v>150201970</v>
      </c>
      <c r="C477" s="3" t="s">
        <v>2643</v>
      </c>
      <c r="D477" s="3" t="s">
        <v>13</v>
      </c>
      <c r="E477" s="3" t="s">
        <v>35</v>
      </c>
      <c r="F477" s="3" t="s">
        <v>36</v>
      </c>
      <c r="G477" s="3" t="s">
        <v>3765</v>
      </c>
      <c r="H477" s="3" t="s">
        <v>2644</v>
      </c>
      <c r="I477" s="3" t="s">
        <v>168</v>
      </c>
      <c r="J477" s="3" t="s">
        <v>2645</v>
      </c>
      <c r="K477" s="3">
        <v>365303400</v>
      </c>
      <c r="L477" s="3" t="s">
        <v>2646</v>
      </c>
    </row>
    <row r="478" spans="1:12" x14ac:dyDescent="0.2">
      <c r="A478" s="1" t="s">
        <v>2647</v>
      </c>
      <c r="B478" s="2" t="str">
        <f>HYPERLINK("https://docket.philalegal.org/cgi-bin/proxy.pl?ct=190902143","190902143")</f>
        <v>190902143</v>
      </c>
      <c r="C478" s="3" t="s">
        <v>2648</v>
      </c>
      <c r="D478" s="3" t="s">
        <v>208</v>
      </c>
      <c r="E478" s="3" t="s">
        <v>319</v>
      </c>
      <c r="F478" s="3" t="s">
        <v>2028</v>
      </c>
      <c r="G478" s="3" t="s">
        <v>3766</v>
      </c>
      <c r="H478" s="3" t="s">
        <v>2649</v>
      </c>
      <c r="I478" s="3"/>
      <c r="J478" s="3" t="s">
        <v>2650</v>
      </c>
      <c r="K478" s="3">
        <v>292265000</v>
      </c>
      <c r="L478" s="3" t="s">
        <v>208</v>
      </c>
    </row>
    <row r="479" spans="1:12" x14ac:dyDescent="0.2">
      <c r="A479" s="1" t="s">
        <v>2651</v>
      </c>
      <c r="B479" s="2" t="str">
        <f>HYPERLINK("https://docket.philalegal.org/cgi-bin/proxy.pl?ct=120300376","120300376")</f>
        <v>120300376</v>
      </c>
      <c r="C479" s="3" t="s">
        <v>2652</v>
      </c>
      <c r="D479" s="3" t="s">
        <v>18</v>
      </c>
      <c r="E479" s="3" t="s">
        <v>2653</v>
      </c>
      <c r="F479" s="3" t="s">
        <v>36</v>
      </c>
      <c r="G479" s="3" t="s">
        <v>3767</v>
      </c>
      <c r="H479" s="3" t="s">
        <v>2654</v>
      </c>
      <c r="I479" s="3"/>
      <c r="J479" s="3" t="s">
        <v>2655</v>
      </c>
      <c r="K479" s="3">
        <v>394568000</v>
      </c>
      <c r="L479" s="3" t="s">
        <v>2656</v>
      </c>
    </row>
    <row r="480" spans="1:12" x14ac:dyDescent="0.2">
      <c r="A480" s="1" t="s">
        <v>2657</v>
      </c>
      <c r="B480" s="2" t="str">
        <f>HYPERLINK("https://docket.philalegal.org/cgi-bin/proxy.pl?ct=230600280","230600280")</f>
        <v>230600280</v>
      </c>
      <c r="C480" s="3" t="s">
        <v>2658</v>
      </c>
      <c r="D480" s="3" t="s">
        <v>208</v>
      </c>
      <c r="E480" s="3" t="s">
        <v>1676</v>
      </c>
      <c r="F480" s="3" t="s">
        <v>36</v>
      </c>
      <c r="G480" s="3" t="s">
        <v>3768</v>
      </c>
      <c r="H480" s="3" t="s">
        <v>2659</v>
      </c>
      <c r="I480" s="3"/>
      <c r="J480" s="3" t="s">
        <v>2660</v>
      </c>
      <c r="K480" s="3">
        <v>242195400</v>
      </c>
      <c r="L480" s="3" t="s">
        <v>2661</v>
      </c>
    </row>
    <row r="481" spans="1:12" x14ac:dyDescent="0.2">
      <c r="A481" s="1" t="s">
        <v>2662</v>
      </c>
      <c r="B481" s="2" t="str">
        <f>HYPERLINK("https://docket.philalegal.org/cgi-bin/proxy.pl?ct=160902518","160902518")</f>
        <v>160902518</v>
      </c>
      <c r="C481" s="3" t="s">
        <v>2663</v>
      </c>
      <c r="D481" s="3" t="s">
        <v>13</v>
      </c>
      <c r="E481" s="3" t="s">
        <v>201</v>
      </c>
      <c r="F481" s="3" t="s">
        <v>566</v>
      </c>
      <c r="G481" s="3"/>
      <c r="H481" s="3" t="s">
        <v>2664</v>
      </c>
      <c r="I481" s="3" t="s">
        <v>2665</v>
      </c>
      <c r="J481" s="3" t="s">
        <v>2666</v>
      </c>
      <c r="K481" s="3">
        <v>292230600</v>
      </c>
      <c r="L481" s="3" t="s">
        <v>2667</v>
      </c>
    </row>
    <row r="482" spans="1:12" x14ac:dyDescent="0.2">
      <c r="A482" s="1" t="s">
        <v>2668</v>
      </c>
      <c r="B482" s="2" t="str">
        <f>HYPERLINK("https://docket.philalegal.org/cgi-bin/proxy.pl?ct=130301274","130301274")</f>
        <v>130301274</v>
      </c>
      <c r="C482" s="3" t="s">
        <v>800</v>
      </c>
      <c r="D482" s="3" t="s">
        <v>13</v>
      </c>
      <c r="E482" s="3" t="s">
        <v>35</v>
      </c>
      <c r="F482" s="3" t="s">
        <v>36</v>
      </c>
      <c r="G482" s="3" t="s">
        <v>2669</v>
      </c>
      <c r="H482" s="3" t="s">
        <v>2669</v>
      </c>
      <c r="I482" s="3" t="s">
        <v>1506</v>
      </c>
      <c r="J482" s="3" t="s">
        <v>2670</v>
      </c>
      <c r="K482" s="3">
        <v>301396900</v>
      </c>
      <c r="L482" s="3" t="s">
        <v>2671</v>
      </c>
    </row>
    <row r="483" spans="1:12" x14ac:dyDescent="0.2">
      <c r="A483" s="1" t="s">
        <v>2672</v>
      </c>
      <c r="B483" s="2" t="str">
        <f>HYPERLINK("https://docket.philalegal.org/cgi-bin/proxy.pl?ct=130900731","130900731")</f>
        <v>130900731</v>
      </c>
      <c r="C483" s="3" t="s">
        <v>2673</v>
      </c>
      <c r="D483" s="3" t="s">
        <v>88</v>
      </c>
      <c r="E483" s="3" t="s">
        <v>35</v>
      </c>
      <c r="F483" s="3" t="s">
        <v>36</v>
      </c>
      <c r="G483" s="3" t="s">
        <v>2674</v>
      </c>
      <c r="H483" s="3" t="s">
        <v>2674</v>
      </c>
      <c r="I483" s="3" t="s">
        <v>1257</v>
      </c>
      <c r="J483" s="3" t="s">
        <v>2675</v>
      </c>
      <c r="K483" s="3" t="s">
        <v>2676</v>
      </c>
      <c r="L483" s="3" t="s">
        <v>2677</v>
      </c>
    </row>
    <row r="484" spans="1:12" x14ac:dyDescent="0.2">
      <c r="A484" s="1" t="s">
        <v>2678</v>
      </c>
      <c r="B484" s="2" t="str">
        <f>HYPERLINK("https://docket.philalegal.org/cgi-bin/proxy.pl?ct=150801551","150801551")</f>
        <v>150801551</v>
      </c>
      <c r="C484" s="3" t="s">
        <v>2679</v>
      </c>
      <c r="D484" s="3" t="s">
        <v>13</v>
      </c>
      <c r="E484" s="3" t="s">
        <v>521</v>
      </c>
      <c r="F484" s="3" t="s">
        <v>36</v>
      </c>
      <c r="G484" s="3"/>
      <c r="H484" s="3" t="s">
        <v>2680</v>
      </c>
      <c r="I484" s="3"/>
      <c r="J484" s="3" t="s">
        <v>2618</v>
      </c>
      <c r="K484" s="3">
        <v>112001800</v>
      </c>
      <c r="L484" s="3" t="s">
        <v>2681</v>
      </c>
    </row>
    <row r="485" spans="1:12" x14ac:dyDescent="0.2">
      <c r="A485" s="1" t="s">
        <v>2682</v>
      </c>
      <c r="B485" s="2" t="str">
        <f>HYPERLINK("https://docket.philalegal.org/cgi-bin/proxy.pl?ct=180103217","180103217")</f>
        <v>180103217</v>
      </c>
      <c r="C485" s="3" t="s">
        <v>2683</v>
      </c>
      <c r="D485" s="3" t="s">
        <v>88</v>
      </c>
      <c r="E485" s="3" t="s">
        <v>2684</v>
      </c>
      <c r="F485" s="3" t="s">
        <v>2685</v>
      </c>
      <c r="G485" s="3" t="s">
        <v>3769</v>
      </c>
      <c r="H485" s="3" t="s">
        <v>2686</v>
      </c>
      <c r="I485" s="3"/>
      <c r="J485" s="3" t="s">
        <v>2687</v>
      </c>
      <c r="K485" s="3">
        <v>121055700</v>
      </c>
      <c r="L485" s="3" t="s">
        <v>2688</v>
      </c>
    </row>
    <row r="486" spans="1:12" x14ac:dyDescent="0.2">
      <c r="A486" s="1" t="s">
        <v>2689</v>
      </c>
      <c r="B486" s="2" t="str">
        <f>HYPERLINK("https://docket.philalegal.org/cgi-bin/proxy.pl?ct=230800402","230800402")</f>
        <v>230800402</v>
      </c>
      <c r="C486" s="3" t="s">
        <v>2690</v>
      </c>
      <c r="D486" s="3" t="s">
        <v>208</v>
      </c>
      <c r="E486" s="3" t="s">
        <v>35</v>
      </c>
      <c r="F486" s="3" t="s">
        <v>36</v>
      </c>
      <c r="G486" s="3"/>
      <c r="H486" s="3" t="s">
        <v>2691</v>
      </c>
      <c r="I486" s="3"/>
      <c r="J486" s="3" t="s">
        <v>2692</v>
      </c>
      <c r="K486" s="3">
        <v>212329420</v>
      </c>
      <c r="L486" s="3" t="s">
        <v>2693</v>
      </c>
    </row>
    <row r="487" spans="1:12" x14ac:dyDescent="0.2">
      <c r="A487" s="1" t="s">
        <v>2694</v>
      </c>
      <c r="B487" s="2" t="str">
        <f>HYPERLINK("https://docket.philalegal.org/cgi-bin/proxy.pl?ct=161001836","161001836")</f>
        <v>161001836</v>
      </c>
      <c r="C487" s="3" t="s">
        <v>2695</v>
      </c>
      <c r="D487" s="3" t="s">
        <v>18</v>
      </c>
      <c r="E487" s="3" t="s">
        <v>2696</v>
      </c>
      <c r="F487" s="3" t="s">
        <v>313</v>
      </c>
      <c r="G487" s="3" t="s">
        <v>3770</v>
      </c>
      <c r="H487" s="3" t="s">
        <v>2697</v>
      </c>
      <c r="I487" s="3"/>
      <c r="J487" s="3" t="s">
        <v>2698</v>
      </c>
      <c r="K487" s="3">
        <v>223086500</v>
      </c>
      <c r="L487" s="3" t="s">
        <v>1738</v>
      </c>
    </row>
    <row r="488" spans="1:12" x14ac:dyDescent="0.2">
      <c r="A488" s="1" t="s">
        <v>2699</v>
      </c>
      <c r="B488" s="2" t="str">
        <f>HYPERLINK("https://docket.philalegal.org/cgi-bin/proxy.pl?ct=210300029","210300029")</f>
        <v>210300029</v>
      </c>
      <c r="C488" s="3" t="s">
        <v>293</v>
      </c>
      <c r="D488" s="3" t="s">
        <v>18</v>
      </c>
      <c r="E488" s="3" t="s">
        <v>187</v>
      </c>
      <c r="F488" s="3" t="s">
        <v>210</v>
      </c>
      <c r="G488" s="3" t="s">
        <v>3771</v>
      </c>
      <c r="H488" s="3" t="s">
        <v>2700</v>
      </c>
      <c r="I488" s="3" t="s">
        <v>2701</v>
      </c>
      <c r="J488" s="3" t="s">
        <v>2702</v>
      </c>
      <c r="K488" s="3" t="s">
        <v>2703</v>
      </c>
      <c r="L488" s="3" t="s">
        <v>267</v>
      </c>
    </row>
    <row r="489" spans="1:12" x14ac:dyDescent="0.2">
      <c r="A489" s="1" t="s">
        <v>2704</v>
      </c>
      <c r="B489" s="2" t="str">
        <f>HYPERLINK("https://docket.philalegal.org/cgi-bin/proxy.pl?ct=210501060","210501060")</f>
        <v>210501060</v>
      </c>
      <c r="C489" s="3" t="s">
        <v>372</v>
      </c>
      <c r="D489" s="3" t="s">
        <v>13</v>
      </c>
      <c r="E489" s="3" t="s">
        <v>187</v>
      </c>
      <c r="F489" s="3" t="s">
        <v>688</v>
      </c>
      <c r="G489" s="3"/>
      <c r="H489" s="3" t="s">
        <v>2705</v>
      </c>
      <c r="I489" s="3" t="s">
        <v>2706</v>
      </c>
      <c r="J489" s="3" t="s">
        <v>976</v>
      </c>
      <c r="K489" s="3">
        <v>777504900</v>
      </c>
      <c r="L489" s="3" t="s">
        <v>2707</v>
      </c>
    </row>
    <row r="490" spans="1:12" x14ac:dyDescent="0.2">
      <c r="A490" s="1" t="s">
        <v>2708</v>
      </c>
      <c r="B490" s="2" t="str">
        <f>HYPERLINK("https://docket.philalegal.org/cgi-bin/proxy.pl?ct=190701605","190701605")</f>
        <v>190701605</v>
      </c>
      <c r="C490" s="3" t="s">
        <v>2709</v>
      </c>
      <c r="D490" s="3" t="s">
        <v>13</v>
      </c>
      <c r="E490" s="3" t="s">
        <v>230</v>
      </c>
      <c r="F490" s="3" t="s">
        <v>36</v>
      </c>
      <c r="G490" s="3" t="s">
        <v>2710</v>
      </c>
      <c r="H490" s="3" t="s">
        <v>2710</v>
      </c>
      <c r="I490" s="3" t="s">
        <v>2711</v>
      </c>
      <c r="J490" s="3" t="s">
        <v>2712</v>
      </c>
      <c r="K490" s="3">
        <v>364002900</v>
      </c>
      <c r="L490" s="3" t="s">
        <v>2713</v>
      </c>
    </row>
    <row r="491" spans="1:12" x14ac:dyDescent="0.2">
      <c r="A491" s="1" t="s">
        <v>2714</v>
      </c>
      <c r="B491" s="2" t="str">
        <f>HYPERLINK("https://docket.philalegal.org/cgi-bin/proxy.pl?ct=230302159","230302159")</f>
        <v>230302159</v>
      </c>
      <c r="C491" s="3" t="s">
        <v>2715</v>
      </c>
      <c r="D491" s="3" t="s">
        <v>216</v>
      </c>
      <c r="E491" s="3" t="s">
        <v>252</v>
      </c>
      <c r="F491" s="3" t="s">
        <v>36</v>
      </c>
      <c r="G491" s="3" t="s">
        <v>3772</v>
      </c>
      <c r="H491" s="3" t="s">
        <v>2716</v>
      </c>
      <c r="I491" s="3" t="s">
        <v>2717</v>
      </c>
      <c r="J491" s="3" t="s">
        <v>2718</v>
      </c>
      <c r="K491" s="3">
        <v>322116600</v>
      </c>
      <c r="L491" s="3" t="s">
        <v>2719</v>
      </c>
    </row>
    <row r="492" spans="1:12" x14ac:dyDescent="0.2">
      <c r="A492" s="1" t="s">
        <v>2720</v>
      </c>
      <c r="B492" s="2" t="str">
        <f>HYPERLINK("https://docket.philalegal.org/cgi-bin/proxy.pl?ct=150802011","150802011")</f>
        <v>150802011</v>
      </c>
      <c r="C492" s="3" t="s">
        <v>2721</v>
      </c>
      <c r="D492" s="3" t="s">
        <v>13</v>
      </c>
      <c r="E492" s="3" t="s">
        <v>885</v>
      </c>
      <c r="F492" s="3" t="s">
        <v>20</v>
      </c>
      <c r="G492" s="3"/>
      <c r="H492" s="3" t="s">
        <v>2722</v>
      </c>
      <c r="I492" s="3" t="s">
        <v>2723</v>
      </c>
      <c r="J492" s="3" t="s">
        <v>2724</v>
      </c>
      <c r="K492" s="3">
        <v>888154168</v>
      </c>
      <c r="L492" s="3" t="s">
        <v>2725</v>
      </c>
    </row>
    <row r="493" spans="1:12" x14ac:dyDescent="0.2">
      <c r="A493" s="1" t="s">
        <v>2726</v>
      </c>
      <c r="B493" s="2" t="str">
        <f>HYPERLINK("https://docket.philalegal.org/cgi-bin/proxy.pl?ct=150603606","150603606")</f>
        <v>150603606</v>
      </c>
      <c r="C493" s="3" t="s">
        <v>2226</v>
      </c>
      <c r="D493" s="3" t="s">
        <v>18</v>
      </c>
      <c r="E493" s="3" t="s">
        <v>35</v>
      </c>
      <c r="F493" s="3" t="s">
        <v>36</v>
      </c>
      <c r="G493" s="3" t="s">
        <v>3730</v>
      </c>
      <c r="H493" s="3" t="s">
        <v>2227</v>
      </c>
      <c r="I493" s="3" t="s">
        <v>2727</v>
      </c>
      <c r="J493" s="3" t="s">
        <v>2728</v>
      </c>
      <c r="K493" s="3">
        <v>365056800</v>
      </c>
      <c r="L493" s="3" t="s">
        <v>2729</v>
      </c>
    </row>
    <row r="494" spans="1:12" x14ac:dyDescent="0.2">
      <c r="A494" s="1" t="s">
        <v>2730</v>
      </c>
      <c r="B494" s="2" t="str">
        <f>HYPERLINK("https://docket.philalegal.org/cgi-bin/proxy.pl?ct=160300091","160300091")</f>
        <v>160300091</v>
      </c>
      <c r="C494" s="3" t="s">
        <v>2731</v>
      </c>
      <c r="D494" s="3" t="s">
        <v>18</v>
      </c>
      <c r="E494" s="3" t="s">
        <v>648</v>
      </c>
      <c r="F494" s="3" t="s">
        <v>173</v>
      </c>
      <c r="G494" s="3" t="s">
        <v>3773</v>
      </c>
      <c r="H494" s="3" t="s">
        <v>2732</v>
      </c>
      <c r="I494" s="3" t="s">
        <v>2733</v>
      </c>
      <c r="J494" s="3" t="s">
        <v>2734</v>
      </c>
      <c r="K494" s="3">
        <v>462055600</v>
      </c>
      <c r="L494" s="3" t="s">
        <v>529</v>
      </c>
    </row>
    <row r="495" spans="1:12" x14ac:dyDescent="0.2">
      <c r="A495" s="1" t="s">
        <v>2735</v>
      </c>
      <c r="B495" s="2" t="str">
        <f>HYPERLINK("https://docket.philalegal.org/cgi-bin/proxy.pl?ct=170700893","170700893")</f>
        <v>170700893</v>
      </c>
      <c r="C495" s="3" t="s">
        <v>2736</v>
      </c>
      <c r="D495" s="3" t="s">
        <v>18</v>
      </c>
      <c r="E495" s="3" t="s">
        <v>669</v>
      </c>
      <c r="F495" s="3" t="s">
        <v>173</v>
      </c>
      <c r="G495" s="3" t="s">
        <v>3632</v>
      </c>
      <c r="H495" s="3" t="s">
        <v>670</v>
      </c>
      <c r="I495" s="3"/>
      <c r="J495" s="3" t="s">
        <v>671</v>
      </c>
      <c r="K495" s="3">
        <v>242036700</v>
      </c>
      <c r="L495" s="3" t="s">
        <v>2737</v>
      </c>
    </row>
    <row r="496" spans="1:12" x14ac:dyDescent="0.2">
      <c r="A496" s="1" t="s">
        <v>2738</v>
      </c>
      <c r="B496" s="2" t="str">
        <f>HYPERLINK("https://docket.philalegal.org/cgi-bin/proxy.pl?ct=231102319","231102319")</f>
        <v>231102319</v>
      </c>
      <c r="C496" s="3" t="s">
        <v>2739</v>
      </c>
      <c r="D496" s="3" t="s">
        <v>208</v>
      </c>
      <c r="E496" s="3" t="s">
        <v>35</v>
      </c>
      <c r="F496" s="3" t="s">
        <v>44</v>
      </c>
      <c r="G496" s="3" t="s">
        <v>3774</v>
      </c>
      <c r="H496" s="3" t="s">
        <v>2740</v>
      </c>
      <c r="I496" s="3"/>
      <c r="J496" s="3" t="s">
        <v>2741</v>
      </c>
      <c r="K496" s="3">
        <v>663330500</v>
      </c>
      <c r="L496" s="3" t="s">
        <v>2742</v>
      </c>
    </row>
    <row r="497" spans="1:12" x14ac:dyDescent="0.2">
      <c r="A497" s="1" t="s">
        <v>2743</v>
      </c>
      <c r="B497" s="2" t="str">
        <f>HYPERLINK("https://docket.philalegal.org/cgi-bin/proxy.pl?ct=231101885","231101885")</f>
        <v>231101885</v>
      </c>
      <c r="C497" s="3" t="s">
        <v>2744</v>
      </c>
      <c r="D497" s="3" t="s">
        <v>208</v>
      </c>
      <c r="E497" s="3" t="s">
        <v>765</v>
      </c>
      <c r="F497" s="3"/>
      <c r="G497" s="3"/>
      <c r="H497" s="3" t="s">
        <v>2745</v>
      </c>
      <c r="I497" s="3"/>
      <c r="J497" s="3" t="s">
        <v>2746</v>
      </c>
      <c r="K497" s="3" t="s">
        <v>2747</v>
      </c>
      <c r="L497" s="3" t="s">
        <v>2748</v>
      </c>
    </row>
    <row r="498" spans="1:12" x14ac:dyDescent="0.2">
      <c r="A498" s="1" t="s">
        <v>2749</v>
      </c>
      <c r="B498" s="2" t="str">
        <f>HYPERLINK("https://docket.philalegal.org/cgi-bin/proxy.pl?ct=160101691","160101691")</f>
        <v>160101691</v>
      </c>
      <c r="C498" s="3" t="s">
        <v>2750</v>
      </c>
      <c r="D498" s="3" t="s">
        <v>18</v>
      </c>
      <c r="E498" s="3" t="s">
        <v>807</v>
      </c>
      <c r="F498" s="3" t="s">
        <v>173</v>
      </c>
      <c r="G498" s="3" t="s">
        <v>3775</v>
      </c>
      <c r="H498" s="3" t="s">
        <v>2751</v>
      </c>
      <c r="I498" s="3"/>
      <c r="J498" s="3" t="s">
        <v>2752</v>
      </c>
      <c r="K498" s="3">
        <v>365281900</v>
      </c>
      <c r="L498" s="3" t="s">
        <v>2753</v>
      </c>
    </row>
    <row r="499" spans="1:12" x14ac:dyDescent="0.2">
      <c r="A499" s="1" t="s">
        <v>2754</v>
      </c>
      <c r="B499" s="2" t="str">
        <f>HYPERLINK("https://docket.philalegal.org/cgi-bin/proxy.pl?ct=231202721","231202721")</f>
        <v>231202721</v>
      </c>
      <c r="C499" s="3" t="s">
        <v>185</v>
      </c>
      <c r="D499" s="3" t="s">
        <v>208</v>
      </c>
      <c r="E499" s="3" t="s">
        <v>187</v>
      </c>
      <c r="F499" s="3" t="s">
        <v>327</v>
      </c>
      <c r="G499" s="3" t="s">
        <v>3776</v>
      </c>
      <c r="H499" s="3" t="s">
        <v>2755</v>
      </c>
      <c r="I499" s="3"/>
      <c r="J499" s="3" t="s">
        <v>2756</v>
      </c>
      <c r="K499" s="3" t="s">
        <v>2757</v>
      </c>
      <c r="L499" s="3" t="s">
        <v>2758</v>
      </c>
    </row>
    <row r="500" spans="1:12" x14ac:dyDescent="0.2">
      <c r="A500" s="1" t="s">
        <v>2759</v>
      </c>
      <c r="B500" s="2" t="str">
        <f>HYPERLINK("https://docket.philalegal.org/cgi-bin/proxy.pl?ct=160103522","160103522")</f>
        <v>160103522</v>
      </c>
      <c r="C500" s="3" t="s">
        <v>2760</v>
      </c>
      <c r="D500" s="3" t="s">
        <v>13</v>
      </c>
      <c r="E500" s="3" t="s">
        <v>2761</v>
      </c>
      <c r="F500" s="3"/>
      <c r="G500" s="3" t="s">
        <v>2762</v>
      </c>
      <c r="H500" s="3" t="s">
        <v>2762</v>
      </c>
      <c r="I500" s="3"/>
      <c r="J500" s="3" t="s">
        <v>2763</v>
      </c>
      <c r="K500" s="3" t="s">
        <v>2764</v>
      </c>
      <c r="L500" s="3" t="s">
        <v>2765</v>
      </c>
    </row>
    <row r="501" spans="1:12" x14ac:dyDescent="0.2">
      <c r="A501" s="1" t="s">
        <v>2766</v>
      </c>
      <c r="B501" s="2" t="str">
        <f>HYPERLINK("https://docket.philalegal.org/cgi-bin/proxy.pl?ct=161001517","161001517")</f>
        <v>161001517</v>
      </c>
      <c r="C501" s="3" t="s">
        <v>2767</v>
      </c>
      <c r="D501" s="3" t="s">
        <v>18</v>
      </c>
      <c r="E501" s="3" t="s">
        <v>305</v>
      </c>
      <c r="F501" s="3" t="s">
        <v>20</v>
      </c>
      <c r="G501" s="3" t="s">
        <v>963</v>
      </c>
      <c r="H501" s="3" t="s">
        <v>963</v>
      </c>
      <c r="I501" s="3"/>
      <c r="J501" s="3" t="s">
        <v>2768</v>
      </c>
      <c r="K501" s="3">
        <v>363020700</v>
      </c>
      <c r="L501" s="3" t="s">
        <v>489</v>
      </c>
    </row>
    <row r="502" spans="1:12" x14ac:dyDescent="0.2">
      <c r="A502" s="1" t="s">
        <v>2769</v>
      </c>
      <c r="B502" s="2" t="str">
        <f>HYPERLINK("https://docket.philalegal.org/cgi-bin/proxy.pl?ct=160103064","160103064")</f>
        <v>160103064</v>
      </c>
      <c r="C502" s="3" t="s">
        <v>2770</v>
      </c>
      <c r="D502" s="3" t="s">
        <v>18</v>
      </c>
      <c r="E502" s="3" t="s">
        <v>1025</v>
      </c>
      <c r="F502" s="3" t="s">
        <v>20</v>
      </c>
      <c r="G502" s="3" t="s">
        <v>3777</v>
      </c>
      <c r="H502" s="3" t="s">
        <v>2771</v>
      </c>
      <c r="I502" s="3"/>
      <c r="J502" s="3" t="s">
        <v>1298</v>
      </c>
      <c r="K502" s="3">
        <v>152273200</v>
      </c>
      <c r="L502" s="3" t="s">
        <v>2772</v>
      </c>
    </row>
    <row r="503" spans="1:12" x14ac:dyDescent="0.2">
      <c r="A503" s="1" t="s">
        <v>2773</v>
      </c>
      <c r="B503" s="2" t="str">
        <f>HYPERLINK("https://docket.philalegal.org/cgi-bin/proxy.pl?ct=230502461","230502461")</f>
        <v>230502461</v>
      </c>
      <c r="C503" s="3" t="s">
        <v>2774</v>
      </c>
      <c r="D503" s="3" t="s">
        <v>208</v>
      </c>
      <c r="E503" s="3" t="s">
        <v>35</v>
      </c>
      <c r="F503" s="3" t="s">
        <v>36</v>
      </c>
      <c r="G503" s="3" t="s">
        <v>3778</v>
      </c>
      <c r="H503" s="3" t="s">
        <v>2775</v>
      </c>
      <c r="I503" s="3"/>
      <c r="J503" s="3" t="s">
        <v>2776</v>
      </c>
      <c r="K503" s="3">
        <v>261350300</v>
      </c>
      <c r="L503" s="3" t="s">
        <v>2777</v>
      </c>
    </row>
    <row r="504" spans="1:12" x14ac:dyDescent="0.2">
      <c r="A504" s="1" t="s">
        <v>2778</v>
      </c>
      <c r="B504" s="2" t="str">
        <f>HYPERLINK("https://docket.philalegal.org/cgi-bin/proxy.pl?ct=170202517","170202517")</f>
        <v>170202517</v>
      </c>
      <c r="C504" s="3" t="s">
        <v>2779</v>
      </c>
      <c r="D504" s="3" t="s">
        <v>18</v>
      </c>
      <c r="E504" s="3" t="s">
        <v>305</v>
      </c>
      <c r="F504" s="3" t="s">
        <v>210</v>
      </c>
      <c r="G504" s="3" t="s">
        <v>2780</v>
      </c>
      <c r="H504" s="3" t="s">
        <v>2780</v>
      </c>
      <c r="I504" s="3"/>
      <c r="J504" s="3" t="s">
        <v>2781</v>
      </c>
      <c r="K504" s="3">
        <v>311144100</v>
      </c>
      <c r="L504" s="3" t="s">
        <v>489</v>
      </c>
    </row>
    <row r="505" spans="1:12" x14ac:dyDescent="0.2">
      <c r="A505" s="1" t="s">
        <v>2782</v>
      </c>
      <c r="B505" s="2" t="str">
        <f>HYPERLINK("https://docket.philalegal.org/cgi-bin/proxy.pl?ct=200301480","200301480")</f>
        <v>200301480</v>
      </c>
      <c r="C505" s="3" t="s">
        <v>185</v>
      </c>
      <c r="D505" s="3" t="s">
        <v>88</v>
      </c>
      <c r="E505" s="3" t="s">
        <v>187</v>
      </c>
      <c r="F505" s="3" t="s">
        <v>210</v>
      </c>
      <c r="G505" s="3" t="s">
        <v>3779</v>
      </c>
      <c r="H505" s="3" t="s">
        <v>2783</v>
      </c>
      <c r="I505" s="3"/>
      <c r="J505" s="3" t="s">
        <v>2784</v>
      </c>
      <c r="K505" s="3" t="s">
        <v>2785</v>
      </c>
      <c r="L505" s="3" t="s">
        <v>2786</v>
      </c>
    </row>
    <row r="506" spans="1:12" x14ac:dyDescent="0.2">
      <c r="A506" s="1" t="s">
        <v>2787</v>
      </c>
      <c r="B506" s="2" t="str">
        <f>HYPERLINK("https://docket.philalegal.org/cgi-bin/proxy.pl?ct=150203098","150203098")</f>
        <v>150203098</v>
      </c>
      <c r="C506" s="3" t="s">
        <v>2788</v>
      </c>
      <c r="D506" s="3" t="s">
        <v>88</v>
      </c>
      <c r="E506" s="3" t="s">
        <v>35</v>
      </c>
      <c r="F506" s="3" t="s">
        <v>36</v>
      </c>
      <c r="G506" s="3" t="s">
        <v>3780</v>
      </c>
      <c r="H506" s="3" t="s">
        <v>1538</v>
      </c>
      <c r="I506" s="3" t="s">
        <v>1539</v>
      </c>
      <c r="J506" s="3" t="s">
        <v>2789</v>
      </c>
      <c r="K506" s="3">
        <v>301361500</v>
      </c>
      <c r="L506" s="3" t="s">
        <v>2790</v>
      </c>
    </row>
    <row r="507" spans="1:12" x14ac:dyDescent="0.2">
      <c r="A507" s="1" t="s">
        <v>2791</v>
      </c>
      <c r="B507" s="2" t="str">
        <f>HYPERLINK("https://docket.philalegal.org/cgi-bin/proxy.pl?ct=171000590","171000590")</f>
        <v>171000590</v>
      </c>
      <c r="C507" s="3" t="s">
        <v>185</v>
      </c>
      <c r="D507" s="3" t="s">
        <v>13</v>
      </c>
      <c r="E507" s="3" t="s">
        <v>187</v>
      </c>
      <c r="F507" s="3" t="s">
        <v>271</v>
      </c>
      <c r="G507" s="3" t="s">
        <v>3781</v>
      </c>
      <c r="H507" s="3" t="s">
        <v>2792</v>
      </c>
      <c r="I507" s="3"/>
      <c r="J507" s="3" t="s">
        <v>2793</v>
      </c>
      <c r="K507" s="3">
        <v>291298400</v>
      </c>
      <c r="L507" s="3" t="s">
        <v>2794</v>
      </c>
    </row>
    <row r="508" spans="1:12" x14ac:dyDescent="0.2">
      <c r="A508" s="1" t="s">
        <v>2795</v>
      </c>
      <c r="B508" s="2" t="str">
        <f>HYPERLINK("https://docket.philalegal.org/cgi-bin/proxy.pl?ct=171101280","171101280")</f>
        <v>171101280</v>
      </c>
      <c r="C508" s="3" t="s">
        <v>2796</v>
      </c>
      <c r="D508" s="3" t="s">
        <v>841</v>
      </c>
      <c r="E508" s="3" t="s">
        <v>2797</v>
      </c>
      <c r="F508" s="3" t="s">
        <v>173</v>
      </c>
      <c r="G508" s="3" t="s">
        <v>2798</v>
      </c>
      <c r="H508" s="3" t="s">
        <v>2798</v>
      </c>
      <c r="I508" s="3"/>
      <c r="J508" s="3" t="s">
        <v>2799</v>
      </c>
      <c r="K508" s="3">
        <v>364072100</v>
      </c>
      <c r="L508" s="3" t="s">
        <v>2800</v>
      </c>
    </row>
    <row r="509" spans="1:12" x14ac:dyDescent="0.2">
      <c r="A509" s="1" t="s">
        <v>2801</v>
      </c>
      <c r="B509" s="2" t="str">
        <f>HYPERLINK("https://docket.philalegal.org/cgi-bin/proxy.pl?ct=160804279","160804279")</f>
        <v>160804279</v>
      </c>
      <c r="C509" s="3" t="s">
        <v>2736</v>
      </c>
      <c r="D509" s="3" t="s">
        <v>18</v>
      </c>
      <c r="E509" s="3" t="s">
        <v>669</v>
      </c>
      <c r="F509" s="3" t="s">
        <v>173</v>
      </c>
      <c r="G509" s="3" t="s">
        <v>3782</v>
      </c>
      <c r="H509" s="3" t="s">
        <v>2802</v>
      </c>
      <c r="I509" s="3"/>
      <c r="J509" s="3" t="s">
        <v>671</v>
      </c>
      <c r="K509" s="3">
        <v>242036700</v>
      </c>
      <c r="L509" s="3" t="s">
        <v>2803</v>
      </c>
    </row>
    <row r="510" spans="1:12" x14ac:dyDescent="0.2">
      <c r="A510" s="1" t="s">
        <v>2804</v>
      </c>
      <c r="B510" s="2" t="str">
        <f>HYPERLINK("https://docket.philalegal.org/cgi-bin/proxy.pl?ct=230902319","230902319")</f>
        <v>230902319</v>
      </c>
      <c r="C510" s="3" t="s">
        <v>2805</v>
      </c>
      <c r="D510" s="3" t="s">
        <v>208</v>
      </c>
      <c r="E510" s="3" t="s">
        <v>1676</v>
      </c>
      <c r="F510" s="3" t="s">
        <v>36</v>
      </c>
      <c r="G510" s="3" t="s">
        <v>3783</v>
      </c>
      <c r="H510" s="3" t="s">
        <v>2806</v>
      </c>
      <c r="I510" s="3"/>
      <c r="J510" s="3" t="s">
        <v>2807</v>
      </c>
      <c r="K510" s="3">
        <v>462057900</v>
      </c>
      <c r="L510" s="3" t="s">
        <v>2808</v>
      </c>
    </row>
    <row r="511" spans="1:12" x14ac:dyDescent="0.2">
      <c r="A511" s="1" t="s">
        <v>2809</v>
      </c>
      <c r="B511" s="2" t="str">
        <f>HYPERLINK("https://docket.philalegal.org/cgi-bin/proxy.pl?ct=230500709","230500709")</f>
        <v>230500709</v>
      </c>
      <c r="C511" s="3" t="s">
        <v>2810</v>
      </c>
      <c r="D511" s="3" t="s">
        <v>208</v>
      </c>
      <c r="E511" s="3" t="s">
        <v>230</v>
      </c>
      <c r="F511" s="3" t="s">
        <v>36</v>
      </c>
      <c r="G511" s="3" t="s">
        <v>3784</v>
      </c>
      <c r="H511" s="3" t="s">
        <v>2811</v>
      </c>
      <c r="I511" s="3"/>
      <c r="J511" s="3" t="s">
        <v>2812</v>
      </c>
      <c r="K511" s="3" t="s">
        <v>2813</v>
      </c>
      <c r="L511" s="3" t="s">
        <v>2814</v>
      </c>
    </row>
    <row r="512" spans="1:12" x14ac:dyDescent="0.2">
      <c r="A512" s="1" t="s">
        <v>2815</v>
      </c>
      <c r="B512" s="2" t="str">
        <f>HYPERLINK("https://docket.philalegal.org/cgi-bin/proxy.pl?ct=131100429","131100429")</f>
        <v>131100429</v>
      </c>
      <c r="C512" s="3" t="s">
        <v>1510</v>
      </c>
      <c r="D512" s="3" t="s">
        <v>13</v>
      </c>
      <c r="E512" s="3" t="s">
        <v>35</v>
      </c>
      <c r="F512" s="3" t="s">
        <v>36</v>
      </c>
      <c r="G512" s="3" t="s">
        <v>1511</v>
      </c>
      <c r="H512" s="3" t="s">
        <v>2816</v>
      </c>
      <c r="I512" s="3" t="s">
        <v>2817</v>
      </c>
      <c r="J512" s="3" t="s">
        <v>2818</v>
      </c>
      <c r="K512" s="3">
        <v>481246200</v>
      </c>
      <c r="L512" s="3" t="s">
        <v>2134</v>
      </c>
    </row>
    <row r="513" spans="1:12" x14ac:dyDescent="0.2">
      <c r="A513" s="1" t="s">
        <v>2819</v>
      </c>
      <c r="B513" s="2" t="str">
        <f>HYPERLINK("https://docket.philalegal.org/cgi-bin/proxy.pl?ct=231102766","231102766")</f>
        <v>231102766</v>
      </c>
      <c r="C513" s="3" t="s">
        <v>2820</v>
      </c>
      <c r="D513" s="3" t="s">
        <v>208</v>
      </c>
      <c r="E513" s="3" t="s">
        <v>1036</v>
      </c>
      <c r="F513" s="3"/>
      <c r="G513" s="3" t="s">
        <v>2821</v>
      </c>
      <c r="H513" s="3" t="s">
        <v>2821</v>
      </c>
      <c r="I513" s="3"/>
      <c r="J513" s="3" t="s">
        <v>2822</v>
      </c>
      <c r="K513" s="3" t="s">
        <v>2823</v>
      </c>
      <c r="L513" s="3" t="s">
        <v>2824</v>
      </c>
    </row>
    <row r="514" spans="1:12" x14ac:dyDescent="0.2">
      <c r="A514" s="1" t="s">
        <v>2825</v>
      </c>
      <c r="B514" s="2" t="str">
        <f>HYPERLINK("https://docket.philalegal.org/cgi-bin/proxy.pl?ct=240102321","240102321")</f>
        <v>240102321</v>
      </c>
      <c r="C514" s="3" t="s">
        <v>293</v>
      </c>
      <c r="D514" s="3" t="s">
        <v>208</v>
      </c>
      <c r="E514" s="3" t="s">
        <v>187</v>
      </c>
      <c r="F514" s="3" t="s">
        <v>20</v>
      </c>
      <c r="G514" s="3"/>
      <c r="H514" s="3" t="s">
        <v>1184</v>
      </c>
      <c r="I514" s="3"/>
      <c r="J514" s="3" t="s">
        <v>2826</v>
      </c>
      <c r="K514" s="3">
        <v>323342901</v>
      </c>
      <c r="L514" s="3" t="s">
        <v>2827</v>
      </c>
    </row>
    <row r="515" spans="1:12" x14ac:dyDescent="0.2">
      <c r="A515" s="1" t="s">
        <v>2828</v>
      </c>
      <c r="B515" s="2" t="str">
        <f>HYPERLINK("https://docket.philalegal.org/cgi-bin/proxy.pl?ct=170701322","170701322")</f>
        <v>170701322</v>
      </c>
      <c r="C515" s="3" t="s">
        <v>185</v>
      </c>
      <c r="D515" s="3" t="s">
        <v>88</v>
      </c>
      <c r="E515" s="3" t="s">
        <v>187</v>
      </c>
      <c r="F515" s="3" t="s">
        <v>210</v>
      </c>
      <c r="G515" s="3" t="s">
        <v>2829</v>
      </c>
      <c r="H515" s="3" t="s">
        <v>2829</v>
      </c>
      <c r="I515" s="3"/>
      <c r="J515" s="3" t="s">
        <v>2578</v>
      </c>
      <c r="K515" s="3">
        <v>871510100</v>
      </c>
      <c r="L515" s="3" t="s">
        <v>2830</v>
      </c>
    </row>
    <row r="516" spans="1:12" x14ac:dyDescent="0.2">
      <c r="A516" s="1" t="s">
        <v>2831</v>
      </c>
      <c r="B516" s="2" t="str">
        <f>HYPERLINK("https://docket.philalegal.org/cgi-bin/proxy.pl?ct=170302614","170302614")</f>
        <v>170302614</v>
      </c>
      <c r="C516" s="3" t="s">
        <v>2832</v>
      </c>
      <c r="D516" s="3" t="s">
        <v>88</v>
      </c>
      <c r="E516" s="3" t="s">
        <v>2797</v>
      </c>
      <c r="F516" s="3" t="s">
        <v>173</v>
      </c>
      <c r="G516" s="3" t="s">
        <v>3785</v>
      </c>
      <c r="H516" s="3" t="s">
        <v>2833</v>
      </c>
      <c r="I516" s="3" t="s">
        <v>561</v>
      </c>
      <c r="J516" s="3" t="s">
        <v>562</v>
      </c>
      <c r="K516" s="3">
        <v>363294400</v>
      </c>
      <c r="L516" s="3" t="s">
        <v>2834</v>
      </c>
    </row>
    <row r="517" spans="1:12" x14ac:dyDescent="0.2">
      <c r="A517" s="1" t="s">
        <v>2835</v>
      </c>
      <c r="B517" s="2" t="str">
        <f>HYPERLINK("https://docket.philalegal.org/cgi-bin/proxy.pl?ct=160201465","160201465")</f>
        <v>160201465</v>
      </c>
      <c r="C517" s="3" t="s">
        <v>2836</v>
      </c>
      <c r="D517" s="3" t="s">
        <v>13</v>
      </c>
      <c r="E517" s="3" t="s">
        <v>2164</v>
      </c>
      <c r="F517" s="3" t="s">
        <v>173</v>
      </c>
      <c r="G517" s="3" t="s">
        <v>3699</v>
      </c>
      <c r="H517" s="3" t="s">
        <v>2837</v>
      </c>
      <c r="I517" s="3"/>
      <c r="J517" s="3" t="s">
        <v>2838</v>
      </c>
      <c r="K517" s="3">
        <v>361311700</v>
      </c>
      <c r="L517" s="3" t="s">
        <v>2839</v>
      </c>
    </row>
    <row r="518" spans="1:12" x14ac:dyDescent="0.2">
      <c r="A518" s="1" t="s">
        <v>2840</v>
      </c>
      <c r="B518" s="2" t="str">
        <f>HYPERLINK("https://docket.philalegal.org/cgi-bin/proxy.pl?ct=150301554","150301554")</f>
        <v>150301554</v>
      </c>
      <c r="C518" s="3" t="s">
        <v>2841</v>
      </c>
      <c r="D518" s="3" t="s">
        <v>13</v>
      </c>
      <c r="E518" s="3" t="s">
        <v>731</v>
      </c>
      <c r="F518" s="3" t="s">
        <v>732</v>
      </c>
      <c r="G518" s="3" t="s">
        <v>2842</v>
      </c>
      <c r="H518" s="3" t="s">
        <v>2842</v>
      </c>
      <c r="I518" s="3"/>
      <c r="J518" s="3" t="s">
        <v>2843</v>
      </c>
      <c r="K518" s="3">
        <v>242203400</v>
      </c>
      <c r="L518" s="3" t="s">
        <v>2844</v>
      </c>
    </row>
    <row r="519" spans="1:12" x14ac:dyDescent="0.2">
      <c r="A519" s="1" t="s">
        <v>2845</v>
      </c>
      <c r="B519" s="2" t="str">
        <f>HYPERLINK("https://docket.philalegal.org/cgi-bin/proxy.pl?ct=120301242","120301242")</f>
        <v>120301242</v>
      </c>
      <c r="C519" s="3" t="s">
        <v>2846</v>
      </c>
      <c r="D519" s="3" t="s">
        <v>64</v>
      </c>
      <c r="E519" s="3" t="s">
        <v>2847</v>
      </c>
      <c r="F519" s="3" t="s">
        <v>36</v>
      </c>
      <c r="G519" s="3" t="s">
        <v>3840</v>
      </c>
      <c r="H519" s="3" t="s">
        <v>2848</v>
      </c>
      <c r="I519" s="3"/>
      <c r="J519" s="3" t="s">
        <v>2849</v>
      </c>
      <c r="K519" s="3" t="s">
        <v>2850</v>
      </c>
      <c r="L519" s="3" t="s">
        <v>2851</v>
      </c>
    </row>
    <row r="520" spans="1:12" x14ac:dyDescent="0.2">
      <c r="A520" s="1" t="s">
        <v>2852</v>
      </c>
      <c r="B520" s="2" t="str">
        <f>HYPERLINK("https://docket.philalegal.org/cgi-bin/proxy.pl?ct=170302613","170302613")</f>
        <v>170302613</v>
      </c>
      <c r="C520" s="3" t="s">
        <v>2853</v>
      </c>
      <c r="D520" s="3" t="s">
        <v>18</v>
      </c>
      <c r="E520" s="3" t="s">
        <v>2797</v>
      </c>
      <c r="F520" s="3" t="s">
        <v>173</v>
      </c>
      <c r="G520" s="3" t="s">
        <v>3841</v>
      </c>
      <c r="H520" s="3" t="s">
        <v>2854</v>
      </c>
      <c r="I520" s="3" t="s">
        <v>2855</v>
      </c>
      <c r="J520" s="3" t="s">
        <v>2856</v>
      </c>
      <c r="K520" s="3">
        <v>364114700</v>
      </c>
      <c r="L520" s="3" t="s">
        <v>2857</v>
      </c>
    </row>
    <row r="521" spans="1:12" x14ac:dyDescent="0.2">
      <c r="A521" s="1" t="s">
        <v>2858</v>
      </c>
      <c r="B521" s="2" t="str">
        <f>HYPERLINK("https://docket.philalegal.org/cgi-bin/proxy.pl?ct=150301540","150301540")</f>
        <v>150301540</v>
      </c>
      <c r="C521" s="3" t="s">
        <v>2859</v>
      </c>
      <c r="D521" s="3" t="s">
        <v>18</v>
      </c>
      <c r="E521" s="3" t="s">
        <v>2860</v>
      </c>
      <c r="F521" s="3" t="s">
        <v>36</v>
      </c>
      <c r="G521" s="3" t="s">
        <v>3842</v>
      </c>
      <c r="H521" s="3" t="s">
        <v>2861</v>
      </c>
      <c r="I521" s="3" t="s">
        <v>168</v>
      </c>
      <c r="J521" s="3" t="s">
        <v>2862</v>
      </c>
      <c r="K521" s="3">
        <v>182166800</v>
      </c>
      <c r="L521" s="3" t="s">
        <v>2863</v>
      </c>
    </row>
    <row r="522" spans="1:12" x14ac:dyDescent="0.2">
      <c r="A522" s="1" t="s">
        <v>2864</v>
      </c>
      <c r="B522" s="2" t="str">
        <f>HYPERLINK("https://docket.philalegal.org/cgi-bin/proxy.pl?ct=140203101","140203101")</f>
        <v>140203101</v>
      </c>
      <c r="C522" s="3" t="s">
        <v>2865</v>
      </c>
      <c r="D522" s="3" t="s">
        <v>13</v>
      </c>
      <c r="E522" s="3" t="s">
        <v>2866</v>
      </c>
      <c r="F522" s="3" t="s">
        <v>712</v>
      </c>
      <c r="G522" s="3" t="s">
        <v>3843</v>
      </c>
      <c r="H522" s="3" t="s">
        <v>2867</v>
      </c>
      <c r="I522" s="3" t="s">
        <v>2868</v>
      </c>
      <c r="J522" s="3" t="s">
        <v>2869</v>
      </c>
      <c r="K522" s="3">
        <v>301096000</v>
      </c>
      <c r="L522" s="3" t="s">
        <v>2870</v>
      </c>
    </row>
    <row r="523" spans="1:12" x14ac:dyDescent="0.2">
      <c r="A523" s="1" t="s">
        <v>2871</v>
      </c>
      <c r="B523" s="2" t="str">
        <f>HYPERLINK("https://docket.philalegal.org/cgi-bin/proxy.pl?ct=130100390","130100390")</f>
        <v>130100390</v>
      </c>
      <c r="C523" s="3" t="s">
        <v>2872</v>
      </c>
      <c r="D523" s="3" t="s">
        <v>64</v>
      </c>
      <c r="E523" s="3" t="s">
        <v>35</v>
      </c>
      <c r="F523" s="3" t="s">
        <v>36</v>
      </c>
      <c r="G523" s="3" t="s">
        <v>850</v>
      </c>
      <c r="H523" s="3" t="s">
        <v>850</v>
      </c>
      <c r="I523" s="3" t="s">
        <v>2873</v>
      </c>
      <c r="J523" s="3" t="s">
        <v>2874</v>
      </c>
      <c r="K523" s="3">
        <v>301178500</v>
      </c>
      <c r="L523" s="3" t="s">
        <v>2875</v>
      </c>
    </row>
    <row r="524" spans="1:12" x14ac:dyDescent="0.2">
      <c r="A524" s="1" t="s">
        <v>2876</v>
      </c>
      <c r="B524" s="2" t="str">
        <f>HYPERLINK("https://docket.philalegal.org/cgi-bin/proxy.pl?ct=200900386","200900386")</f>
        <v>200900386</v>
      </c>
      <c r="C524" s="3" t="s">
        <v>2877</v>
      </c>
      <c r="D524" s="3" t="s">
        <v>830</v>
      </c>
      <c r="E524" s="3" t="s">
        <v>2878</v>
      </c>
      <c r="F524" s="3" t="s">
        <v>36</v>
      </c>
      <c r="G524" s="3"/>
      <c r="H524" s="3" t="s">
        <v>2879</v>
      </c>
      <c r="I524" s="3" t="s">
        <v>2880</v>
      </c>
      <c r="J524" s="3" t="s">
        <v>2881</v>
      </c>
      <c r="K524" s="3">
        <v>772135000</v>
      </c>
      <c r="L524" s="3" t="s">
        <v>2882</v>
      </c>
    </row>
    <row r="525" spans="1:12" x14ac:dyDescent="0.2">
      <c r="A525" s="1" t="s">
        <v>2883</v>
      </c>
      <c r="B525" s="2" t="str">
        <f>HYPERLINK("https://docket.philalegal.org/cgi-bin/proxy.pl?ct=160400321","160400321")</f>
        <v>160400321</v>
      </c>
      <c r="C525" s="3" t="s">
        <v>2884</v>
      </c>
      <c r="D525" s="3" t="s">
        <v>13</v>
      </c>
      <c r="E525" s="3" t="s">
        <v>1096</v>
      </c>
      <c r="F525" s="3" t="s">
        <v>395</v>
      </c>
      <c r="G525" s="3" t="s">
        <v>3844</v>
      </c>
      <c r="H525" s="3" t="s">
        <v>2885</v>
      </c>
      <c r="I525" s="3"/>
      <c r="J525" s="3" t="s">
        <v>2886</v>
      </c>
      <c r="K525" s="3">
        <v>292202400</v>
      </c>
      <c r="L525" s="3" t="s">
        <v>2887</v>
      </c>
    </row>
    <row r="526" spans="1:12" x14ac:dyDescent="0.2">
      <c r="A526" s="1" t="s">
        <v>2888</v>
      </c>
      <c r="B526" s="2" t="str">
        <f>HYPERLINK("https://docket.philalegal.org/cgi-bin/proxy.pl?ct=171202289","171202289")</f>
        <v>171202289</v>
      </c>
      <c r="C526" s="3" t="s">
        <v>2889</v>
      </c>
      <c r="D526" s="3" t="s">
        <v>13</v>
      </c>
      <c r="E526" s="3" t="s">
        <v>2684</v>
      </c>
      <c r="F526" s="3" t="s">
        <v>2890</v>
      </c>
      <c r="G526" s="3" t="s">
        <v>3769</v>
      </c>
      <c r="H526" s="3" t="s">
        <v>2891</v>
      </c>
      <c r="I526" s="3"/>
      <c r="J526" s="3" t="s">
        <v>2687</v>
      </c>
      <c r="K526" s="3">
        <v>121055700</v>
      </c>
      <c r="L526" s="3" t="s">
        <v>2892</v>
      </c>
    </row>
    <row r="527" spans="1:12" x14ac:dyDescent="0.2">
      <c r="A527" s="1" t="s">
        <v>2893</v>
      </c>
      <c r="B527" s="2" t="str">
        <f>HYPERLINK("https://docket.philalegal.org/cgi-bin/proxy.pl?ct=181200879","181200879")</f>
        <v>181200879</v>
      </c>
      <c r="C527" s="3" t="s">
        <v>185</v>
      </c>
      <c r="D527" s="3" t="s">
        <v>216</v>
      </c>
      <c r="E527" s="3" t="s">
        <v>187</v>
      </c>
      <c r="F527" s="3" t="s">
        <v>688</v>
      </c>
      <c r="G527" s="3" t="s">
        <v>3845</v>
      </c>
      <c r="H527" s="3" t="s">
        <v>2894</v>
      </c>
      <c r="I527" s="3" t="s">
        <v>2895</v>
      </c>
      <c r="J527" s="3" t="s">
        <v>2896</v>
      </c>
      <c r="K527" s="3">
        <v>521207700</v>
      </c>
      <c r="L527" s="3" t="s">
        <v>2897</v>
      </c>
    </row>
    <row r="528" spans="1:12" x14ac:dyDescent="0.2">
      <c r="A528" s="1" t="s">
        <v>2898</v>
      </c>
      <c r="B528" s="2" t="str">
        <f>HYPERLINK("https://docket.philalegal.org/cgi-bin/proxy.pl?ct=230600539","230600539")</f>
        <v>230600539</v>
      </c>
      <c r="C528" s="3" t="s">
        <v>2899</v>
      </c>
      <c r="D528" s="3" t="s">
        <v>208</v>
      </c>
      <c r="E528" s="3" t="s">
        <v>35</v>
      </c>
      <c r="F528" s="3" t="s">
        <v>44</v>
      </c>
      <c r="G528" s="3" t="s">
        <v>3846</v>
      </c>
      <c r="H528" s="3" t="s">
        <v>2900</v>
      </c>
      <c r="I528" s="3"/>
      <c r="J528" s="3" t="s">
        <v>2901</v>
      </c>
      <c r="K528" s="3">
        <v>662206700</v>
      </c>
      <c r="L528" s="3" t="s">
        <v>2902</v>
      </c>
    </row>
    <row r="529" spans="1:12" x14ac:dyDescent="0.2">
      <c r="A529" s="1" t="s">
        <v>2903</v>
      </c>
      <c r="B529" s="2" t="str">
        <f>HYPERLINK("https://docket.philalegal.org/cgi-bin/proxy.pl?ct=130302106","130302106")</f>
        <v>130302106</v>
      </c>
      <c r="C529" s="3" t="s">
        <v>2904</v>
      </c>
      <c r="D529" s="3" t="s">
        <v>18</v>
      </c>
      <c r="E529" s="3" t="s">
        <v>1653</v>
      </c>
      <c r="F529" s="3" t="s">
        <v>36</v>
      </c>
      <c r="G529" s="3"/>
      <c r="H529" s="3" t="s">
        <v>2905</v>
      </c>
      <c r="I529" s="3"/>
      <c r="J529" s="3" t="s">
        <v>2906</v>
      </c>
      <c r="K529" s="3">
        <v>152234500</v>
      </c>
      <c r="L529" s="3" t="s">
        <v>2907</v>
      </c>
    </row>
    <row r="530" spans="1:12" x14ac:dyDescent="0.2">
      <c r="A530" s="1" t="s">
        <v>2908</v>
      </c>
      <c r="B530" s="2" t="str">
        <f>HYPERLINK("https://docket.philalegal.org/cgi-bin/proxy.pl?ct=190803117","190803117")</f>
        <v>190803117</v>
      </c>
      <c r="C530" s="3" t="s">
        <v>185</v>
      </c>
      <c r="D530" s="3" t="s">
        <v>18</v>
      </c>
      <c r="E530" s="3" t="s">
        <v>187</v>
      </c>
      <c r="F530" s="3" t="s">
        <v>933</v>
      </c>
      <c r="G530" s="3" t="s">
        <v>3847</v>
      </c>
      <c r="H530" s="3" t="s">
        <v>2909</v>
      </c>
      <c r="I530" s="3" t="s">
        <v>2910</v>
      </c>
      <c r="J530" s="3" t="s">
        <v>1387</v>
      </c>
      <c r="K530" s="3">
        <v>324088400</v>
      </c>
      <c r="L530" s="3" t="s">
        <v>267</v>
      </c>
    </row>
    <row r="531" spans="1:12" x14ac:dyDescent="0.2">
      <c r="A531" s="1" t="s">
        <v>2911</v>
      </c>
      <c r="B531" s="2" t="str">
        <f>HYPERLINK("https://docket.philalegal.org/cgi-bin/proxy.pl?ct=160100904","160100904")</f>
        <v>160100904</v>
      </c>
      <c r="C531" s="3" t="s">
        <v>2912</v>
      </c>
      <c r="D531" s="3" t="s">
        <v>13</v>
      </c>
      <c r="E531" s="3" t="s">
        <v>35</v>
      </c>
      <c r="F531" s="3" t="s">
        <v>395</v>
      </c>
      <c r="G531" s="3"/>
      <c r="H531" s="3" t="s">
        <v>2913</v>
      </c>
      <c r="I531" s="3" t="s">
        <v>2914</v>
      </c>
      <c r="J531" s="3" t="s">
        <v>2915</v>
      </c>
      <c r="K531" s="3">
        <v>771521000</v>
      </c>
      <c r="L531" s="3" t="s">
        <v>2916</v>
      </c>
    </row>
    <row r="532" spans="1:12" x14ac:dyDescent="0.2">
      <c r="A532" s="1" t="s">
        <v>2917</v>
      </c>
      <c r="B532" s="2" t="str">
        <f>HYPERLINK("https://docket.philalegal.org/cgi-bin/proxy.pl?ct=180703768","180703768")</f>
        <v>180703768</v>
      </c>
      <c r="C532" s="3" t="s">
        <v>2918</v>
      </c>
      <c r="D532" s="3" t="s">
        <v>18</v>
      </c>
      <c r="E532" s="3" t="s">
        <v>230</v>
      </c>
      <c r="F532" s="3" t="s">
        <v>173</v>
      </c>
      <c r="G532" s="3"/>
      <c r="H532" s="3" t="s">
        <v>2919</v>
      </c>
      <c r="I532" s="3"/>
      <c r="J532" s="3" t="s">
        <v>2920</v>
      </c>
      <c r="K532" s="3">
        <v>511196105</v>
      </c>
      <c r="L532" s="3" t="s">
        <v>2921</v>
      </c>
    </row>
    <row r="533" spans="1:12" x14ac:dyDescent="0.2">
      <c r="A533" s="1" t="s">
        <v>2922</v>
      </c>
      <c r="B533" s="2" t="str">
        <f>HYPERLINK("https://docket.philalegal.org/cgi-bin/proxy.pl?ct=160302290","160302290")</f>
        <v>160302290</v>
      </c>
      <c r="C533" s="3" t="s">
        <v>2923</v>
      </c>
      <c r="D533" s="3" t="s">
        <v>152</v>
      </c>
      <c r="E533" s="3" t="s">
        <v>573</v>
      </c>
      <c r="F533" s="3" t="s">
        <v>14</v>
      </c>
      <c r="G533" s="3"/>
      <c r="H533" s="3" t="s">
        <v>2924</v>
      </c>
      <c r="I533" s="3"/>
      <c r="J533" s="3" t="s">
        <v>2166</v>
      </c>
      <c r="K533" s="3">
        <v>871167750</v>
      </c>
      <c r="L533" s="3" t="s">
        <v>156</v>
      </c>
    </row>
    <row r="534" spans="1:12" x14ac:dyDescent="0.2">
      <c r="A534" s="1" t="s">
        <v>2925</v>
      </c>
      <c r="B534" s="2" t="str">
        <f>HYPERLINK("https://docket.philalegal.org/cgi-bin/proxy.pl?ct=160301869","160301869")</f>
        <v>160301869</v>
      </c>
      <c r="C534" s="3" t="s">
        <v>2926</v>
      </c>
      <c r="D534" s="3" t="s">
        <v>13</v>
      </c>
      <c r="E534" s="3" t="s">
        <v>201</v>
      </c>
      <c r="F534" s="3" t="s">
        <v>710</v>
      </c>
      <c r="G534" s="3" t="s">
        <v>3848</v>
      </c>
      <c r="H534" s="3" t="s">
        <v>2927</v>
      </c>
      <c r="I534" s="3" t="s">
        <v>2928</v>
      </c>
      <c r="J534" s="3" t="s">
        <v>2929</v>
      </c>
      <c r="K534" s="3">
        <v>292189400</v>
      </c>
      <c r="L534" s="3" t="s">
        <v>2930</v>
      </c>
    </row>
    <row r="535" spans="1:12" x14ac:dyDescent="0.2">
      <c r="A535" s="1" t="s">
        <v>2931</v>
      </c>
      <c r="B535" s="2" t="str">
        <f>HYPERLINK("https://docket.philalegal.org/cgi-bin/proxy.pl?ct=220102251","220102251")</f>
        <v>220102251</v>
      </c>
      <c r="C535" s="3" t="s">
        <v>2932</v>
      </c>
      <c r="D535" s="3" t="s">
        <v>186</v>
      </c>
      <c r="E535" s="3" t="s">
        <v>252</v>
      </c>
      <c r="F535" s="3" t="s">
        <v>36</v>
      </c>
      <c r="G535" s="3"/>
      <c r="H535" s="3" t="s">
        <v>2933</v>
      </c>
      <c r="I535" s="3"/>
      <c r="J535" s="3" t="s">
        <v>2934</v>
      </c>
      <c r="K535" s="3">
        <v>871542170</v>
      </c>
      <c r="L535" s="3" t="s">
        <v>2935</v>
      </c>
    </row>
    <row r="536" spans="1:12" x14ac:dyDescent="0.2">
      <c r="A536" s="1" t="s">
        <v>2936</v>
      </c>
      <c r="B536" s="2" t="str">
        <f>HYPERLINK("https://docket.philalegal.org/cgi-bin/proxy.pl?ct=240100859","240100859")</f>
        <v>240100859</v>
      </c>
      <c r="C536" s="3" t="s">
        <v>2937</v>
      </c>
      <c r="D536" s="3" t="s">
        <v>216</v>
      </c>
      <c r="E536" s="3" t="s">
        <v>885</v>
      </c>
      <c r="F536" s="3" t="s">
        <v>188</v>
      </c>
      <c r="G536" s="3"/>
      <c r="H536" s="3" t="s">
        <v>2938</v>
      </c>
      <c r="I536" s="3"/>
      <c r="J536" s="3" t="s">
        <v>2939</v>
      </c>
      <c r="K536" s="3">
        <v>881444500</v>
      </c>
      <c r="L536" s="3" t="s">
        <v>2940</v>
      </c>
    </row>
    <row r="537" spans="1:12" x14ac:dyDescent="0.2">
      <c r="A537" s="1" t="s">
        <v>2941</v>
      </c>
      <c r="B537" s="2" t="str">
        <f>HYPERLINK("https://docket.philalegal.org/cgi-bin/proxy.pl?ct=230901593","230901593")</f>
        <v>230901593</v>
      </c>
      <c r="C537" s="3" t="s">
        <v>185</v>
      </c>
      <c r="D537" s="3" t="s">
        <v>208</v>
      </c>
      <c r="E537" s="3" t="s">
        <v>187</v>
      </c>
      <c r="F537" s="3" t="s">
        <v>188</v>
      </c>
      <c r="G537" s="3"/>
      <c r="H537" s="3" t="s">
        <v>2942</v>
      </c>
      <c r="I537" s="3"/>
      <c r="J537" s="3" t="s">
        <v>2943</v>
      </c>
      <c r="K537" s="3">
        <v>112066200</v>
      </c>
      <c r="L537" s="3" t="s">
        <v>2944</v>
      </c>
    </row>
    <row r="538" spans="1:12" x14ac:dyDescent="0.2">
      <c r="A538" s="1" t="s">
        <v>2945</v>
      </c>
      <c r="B538" s="2" t="str">
        <f>HYPERLINK("https://docket.philalegal.org/cgi-bin/proxy.pl?ct=221200062","221200062")</f>
        <v>221200062</v>
      </c>
      <c r="C538" s="3" t="s">
        <v>2946</v>
      </c>
      <c r="D538" s="3" t="s">
        <v>216</v>
      </c>
      <c r="E538" s="3" t="s">
        <v>194</v>
      </c>
      <c r="F538" s="3" t="s">
        <v>259</v>
      </c>
      <c r="G538" s="3" t="s">
        <v>3849</v>
      </c>
      <c r="H538" s="3" t="s">
        <v>2947</v>
      </c>
      <c r="I538" s="3" t="s">
        <v>2948</v>
      </c>
      <c r="J538" s="3" t="s">
        <v>2949</v>
      </c>
      <c r="K538" s="3">
        <v>364394300</v>
      </c>
      <c r="L538" s="3" t="s">
        <v>2950</v>
      </c>
    </row>
    <row r="539" spans="1:12" x14ac:dyDescent="0.2">
      <c r="A539" s="1" t="s">
        <v>2951</v>
      </c>
      <c r="B539" s="2" t="str">
        <f>HYPERLINK("https://docket.philalegal.org/cgi-bin/proxy.pl?ct=210301781","210301781")</f>
        <v>210301781</v>
      </c>
      <c r="C539" s="3" t="s">
        <v>293</v>
      </c>
      <c r="D539" s="3" t="s">
        <v>13</v>
      </c>
      <c r="E539" s="3" t="s">
        <v>187</v>
      </c>
      <c r="F539" s="3" t="s">
        <v>210</v>
      </c>
      <c r="G539" s="3" t="s">
        <v>3850</v>
      </c>
      <c r="H539" s="3" t="s">
        <v>2952</v>
      </c>
      <c r="I539" s="3" t="s">
        <v>1919</v>
      </c>
      <c r="J539" s="3" t="s">
        <v>2953</v>
      </c>
      <c r="K539" s="3">
        <v>362118700</v>
      </c>
      <c r="L539" s="3" t="s">
        <v>2954</v>
      </c>
    </row>
    <row r="540" spans="1:12" x14ac:dyDescent="0.2">
      <c r="A540" s="1" t="s">
        <v>2955</v>
      </c>
      <c r="B540" s="2" t="str">
        <f>HYPERLINK("https://docket.philalegal.org/cgi-bin/proxy.pl?ct=230602344","230602344")</f>
        <v>230602344</v>
      </c>
      <c r="C540" s="3" t="s">
        <v>2956</v>
      </c>
      <c r="D540" s="3" t="s">
        <v>208</v>
      </c>
      <c r="E540" s="3" t="s">
        <v>35</v>
      </c>
      <c r="F540" s="3" t="s">
        <v>36</v>
      </c>
      <c r="G540" s="3"/>
      <c r="H540" s="3" t="s">
        <v>2957</v>
      </c>
      <c r="I540" s="3"/>
      <c r="J540" s="3" t="s">
        <v>2958</v>
      </c>
      <c r="K540" s="3">
        <v>181462230</v>
      </c>
      <c r="L540" s="3" t="s">
        <v>2959</v>
      </c>
    </row>
    <row r="541" spans="1:12" x14ac:dyDescent="0.2">
      <c r="A541" s="1" t="s">
        <v>2960</v>
      </c>
      <c r="B541" s="2" t="str">
        <f>HYPERLINK("https://docket.philalegal.org/cgi-bin/proxy.pl?ct=200201288","200201288")</f>
        <v>200201288</v>
      </c>
      <c r="C541" s="3" t="s">
        <v>185</v>
      </c>
      <c r="D541" s="3" t="s">
        <v>18</v>
      </c>
      <c r="E541" s="3" t="s">
        <v>187</v>
      </c>
      <c r="F541" s="3" t="s">
        <v>210</v>
      </c>
      <c r="G541" s="3"/>
      <c r="H541" s="3" t="s">
        <v>2961</v>
      </c>
      <c r="I541" s="3" t="s">
        <v>2962</v>
      </c>
      <c r="J541" s="3" t="s">
        <v>2963</v>
      </c>
      <c r="K541" s="3">
        <v>222070000</v>
      </c>
      <c r="L541" s="3" t="s">
        <v>267</v>
      </c>
    </row>
    <row r="542" spans="1:12" x14ac:dyDescent="0.2">
      <c r="A542" s="1" t="s">
        <v>2964</v>
      </c>
      <c r="B542" s="2" t="str">
        <f>HYPERLINK("https://docket.philalegal.org/cgi-bin/proxy.pl?ct=160503133","160503133")</f>
        <v>160503133</v>
      </c>
      <c r="C542" s="3" t="s">
        <v>2965</v>
      </c>
      <c r="D542" s="3" t="s">
        <v>13</v>
      </c>
      <c r="E542" s="3" t="s">
        <v>2582</v>
      </c>
      <c r="F542" s="3" t="s">
        <v>173</v>
      </c>
      <c r="G542" s="3" t="s">
        <v>2966</v>
      </c>
      <c r="H542" s="3" t="s">
        <v>2966</v>
      </c>
      <c r="I542" s="3"/>
      <c r="J542" s="3" t="s">
        <v>2967</v>
      </c>
      <c r="K542" s="3">
        <v>471323100</v>
      </c>
      <c r="L542" s="3" t="s">
        <v>2968</v>
      </c>
    </row>
    <row r="543" spans="1:12" x14ac:dyDescent="0.2">
      <c r="A543" s="1" t="s">
        <v>2969</v>
      </c>
      <c r="B543" s="2" t="str">
        <f>HYPERLINK("https://docket.philalegal.org/cgi-bin/proxy.pl?ct=180303179","180303179")</f>
        <v>180303179</v>
      </c>
      <c r="C543" s="3" t="s">
        <v>2970</v>
      </c>
      <c r="D543" s="3" t="s">
        <v>13</v>
      </c>
      <c r="E543" s="3" t="s">
        <v>319</v>
      </c>
      <c r="F543" s="3" t="s">
        <v>405</v>
      </c>
      <c r="G543" s="3"/>
      <c r="H543" s="3" t="s">
        <v>2971</v>
      </c>
      <c r="I543" s="3" t="s">
        <v>2972</v>
      </c>
      <c r="J543" s="3" t="s">
        <v>2973</v>
      </c>
      <c r="K543" s="3">
        <v>292241610</v>
      </c>
      <c r="L543" s="3" t="s">
        <v>2974</v>
      </c>
    </row>
    <row r="544" spans="1:12" x14ac:dyDescent="0.2">
      <c r="A544" s="1" t="s">
        <v>2975</v>
      </c>
      <c r="B544" s="2" t="str">
        <f>HYPERLINK("https://docket.philalegal.org/cgi-bin/proxy.pl?ct=190800750","190800750")</f>
        <v>190800750</v>
      </c>
      <c r="C544" s="3" t="s">
        <v>2976</v>
      </c>
      <c r="D544" s="3" t="s">
        <v>18</v>
      </c>
      <c r="E544" s="3" t="s">
        <v>2977</v>
      </c>
      <c r="F544" s="3" t="s">
        <v>313</v>
      </c>
      <c r="G544" s="3" t="s">
        <v>2978</v>
      </c>
      <c r="H544" s="3" t="s">
        <v>2978</v>
      </c>
      <c r="I544" s="3" t="s">
        <v>2979</v>
      </c>
      <c r="J544" s="3" t="s">
        <v>2980</v>
      </c>
      <c r="K544" s="3">
        <v>222213000</v>
      </c>
      <c r="L544" s="3" t="s">
        <v>2981</v>
      </c>
    </row>
    <row r="545" spans="1:12" x14ac:dyDescent="0.2">
      <c r="A545" s="1" t="s">
        <v>2982</v>
      </c>
      <c r="B545" s="2" t="str">
        <f>HYPERLINK("https://docket.philalegal.org/cgi-bin/proxy.pl?ct=170801534","170801534")</f>
        <v>170801534</v>
      </c>
      <c r="C545" s="3" t="s">
        <v>2983</v>
      </c>
      <c r="D545" s="3" t="s">
        <v>13</v>
      </c>
      <c r="E545" s="3" t="s">
        <v>35</v>
      </c>
      <c r="F545" s="3" t="s">
        <v>395</v>
      </c>
      <c r="G545" s="3" t="s">
        <v>3851</v>
      </c>
      <c r="H545" s="3" t="s">
        <v>2984</v>
      </c>
      <c r="I545" s="3" t="s">
        <v>2985</v>
      </c>
      <c r="J545" s="3" t="s">
        <v>2986</v>
      </c>
      <c r="K545" s="3">
        <v>241190000</v>
      </c>
      <c r="L545" s="3" t="s">
        <v>2987</v>
      </c>
    </row>
    <row r="546" spans="1:12" x14ac:dyDescent="0.2">
      <c r="A546" s="1" t="s">
        <v>2988</v>
      </c>
      <c r="B546" s="2" t="str">
        <f>HYPERLINK("https://docket.philalegal.org/cgi-bin/proxy.pl?ct=231201124","231201124")</f>
        <v>231201124</v>
      </c>
      <c r="C546" s="3" t="s">
        <v>185</v>
      </c>
      <c r="D546" s="3" t="s">
        <v>208</v>
      </c>
      <c r="E546" s="3" t="s">
        <v>187</v>
      </c>
      <c r="F546" s="3" t="s">
        <v>20</v>
      </c>
      <c r="G546" s="3"/>
      <c r="H546" s="3" t="s">
        <v>434</v>
      </c>
      <c r="I546" s="3"/>
      <c r="J546" s="3" t="s">
        <v>2989</v>
      </c>
      <c r="K546" s="3">
        <v>871119950</v>
      </c>
      <c r="L546" s="3" t="s">
        <v>2990</v>
      </c>
    </row>
    <row r="547" spans="1:12" x14ac:dyDescent="0.2">
      <c r="A547" s="1" t="s">
        <v>2991</v>
      </c>
      <c r="B547" s="2" t="str">
        <f>HYPERLINK("https://docket.philalegal.org/cgi-bin/proxy.pl?ct=220500073","220500073")</f>
        <v>220500073</v>
      </c>
      <c r="C547" s="3" t="s">
        <v>325</v>
      </c>
      <c r="D547" s="3" t="s">
        <v>216</v>
      </c>
      <c r="E547" s="3" t="s">
        <v>326</v>
      </c>
      <c r="F547" s="3" t="s">
        <v>1321</v>
      </c>
      <c r="G547" s="3" t="s">
        <v>3852</v>
      </c>
      <c r="H547" s="3" t="s">
        <v>2992</v>
      </c>
      <c r="I547" s="3"/>
      <c r="J547" s="3" t="s">
        <v>2993</v>
      </c>
      <c r="K547" s="3">
        <v>183129700</v>
      </c>
      <c r="L547" s="3" t="s">
        <v>2994</v>
      </c>
    </row>
    <row r="548" spans="1:12" x14ac:dyDescent="0.2">
      <c r="A548" s="1" t="s">
        <v>2995</v>
      </c>
      <c r="B548" s="2" t="str">
        <f>HYPERLINK("https://docket.philalegal.org/cgi-bin/proxy.pl?ct=140304404","140304404")</f>
        <v>140304404</v>
      </c>
      <c r="C548" s="3" t="s">
        <v>2996</v>
      </c>
      <c r="D548" s="3" t="s">
        <v>13</v>
      </c>
      <c r="E548" s="3" t="s">
        <v>1051</v>
      </c>
      <c r="F548" s="3" t="s">
        <v>732</v>
      </c>
      <c r="G548" s="3" t="s">
        <v>3851</v>
      </c>
      <c r="H548" s="3" t="s">
        <v>2997</v>
      </c>
      <c r="I548" s="3" t="s">
        <v>2998</v>
      </c>
      <c r="J548" s="3" t="s">
        <v>2999</v>
      </c>
      <c r="K548" s="3">
        <v>241190000</v>
      </c>
      <c r="L548" s="3" t="s">
        <v>3000</v>
      </c>
    </row>
    <row r="549" spans="1:12" x14ac:dyDescent="0.2">
      <c r="A549" s="1" t="s">
        <v>3001</v>
      </c>
      <c r="B549" s="2" t="str">
        <f>HYPERLINK("https://docket.philalegal.org/cgi-bin/proxy.pl?ct=230901468","230901468")</f>
        <v>230901468</v>
      </c>
      <c r="C549" s="3" t="s">
        <v>3002</v>
      </c>
      <c r="D549" s="3" t="s">
        <v>208</v>
      </c>
      <c r="E549" s="3" t="s">
        <v>194</v>
      </c>
      <c r="F549" s="3" t="s">
        <v>259</v>
      </c>
      <c r="G549" s="3" t="s">
        <v>3853</v>
      </c>
      <c r="H549" s="3" t="s">
        <v>1786</v>
      </c>
      <c r="I549" s="3"/>
      <c r="J549" s="3" t="s">
        <v>3003</v>
      </c>
      <c r="K549" s="3">
        <v>301139300</v>
      </c>
      <c r="L549" s="3" t="s">
        <v>3004</v>
      </c>
    </row>
    <row r="550" spans="1:12" x14ac:dyDescent="0.2">
      <c r="A550" s="1" t="s">
        <v>3005</v>
      </c>
      <c r="B550" s="2" t="str">
        <f>HYPERLINK("https://docket.philalegal.org/cgi-bin/proxy.pl?ct=170402248","170402248")</f>
        <v>170402248</v>
      </c>
      <c r="C550" s="3" t="s">
        <v>3006</v>
      </c>
      <c r="D550" s="3" t="s">
        <v>18</v>
      </c>
      <c r="E550" s="3" t="s">
        <v>3007</v>
      </c>
      <c r="F550" s="3" t="s">
        <v>173</v>
      </c>
      <c r="G550" s="3" t="s">
        <v>3008</v>
      </c>
      <c r="H550" s="3" t="s">
        <v>3008</v>
      </c>
      <c r="I550" s="3"/>
      <c r="J550" s="3" t="s">
        <v>3009</v>
      </c>
      <c r="K550" s="3">
        <v>364092900</v>
      </c>
      <c r="L550" s="3" t="s">
        <v>3010</v>
      </c>
    </row>
    <row r="551" spans="1:12" x14ac:dyDescent="0.2">
      <c r="A551" s="1" t="s">
        <v>3011</v>
      </c>
      <c r="B551" s="2" t="str">
        <f>HYPERLINK("https://docket.philalegal.org/cgi-bin/proxy.pl?ct=210402981","210402981")</f>
        <v>210402981</v>
      </c>
      <c r="C551" s="3" t="s">
        <v>3012</v>
      </c>
      <c r="D551" s="3" t="s">
        <v>13</v>
      </c>
      <c r="E551" s="3" t="s">
        <v>3013</v>
      </c>
      <c r="F551" s="3" t="s">
        <v>36</v>
      </c>
      <c r="G551" s="3" t="s">
        <v>3014</v>
      </c>
      <c r="H551" s="3" t="s">
        <v>3014</v>
      </c>
      <c r="I551" s="3" t="s">
        <v>240</v>
      </c>
      <c r="J551" s="3" t="s">
        <v>3015</v>
      </c>
      <c r="K551" s="3" t="s">
        <v>3016</v>
      </c>
      <c r="L551" s="3" t="s">
        <v>2707</v>
      </c>
    </row>
    <row r="552" spans="1:12" x14ac:dyDescent="0.2">
      <c r="A552" s="1" t="s">
        <v>3017</v>
      </c>
      <c r="B552" s="2" t="str">
        <f>HYPERLINK("https://docket.philalegal.org/cgi-bin/proxy.pl?ct=231202172","231202172")</f>
        <v>231202172</v>
      </c>
      <c r="C552" s="3" t="s">
        <v>3018</v>
      </c>
      <c r="D552" s="3" t="s">
        <v>208</v>
      </c>
      <c r="E552" s="3" t="s">
        <v>270</v>
      </c>
      <c r="F552" s="3" t="s">
        <v>1487</v>
      </c>
      <c r="G552" s="3" t="s">
        <v>3854</v>
      </c>
      <c r="H552" s="3" t="s">
        <v>3019</v>
      </c>
      <c r="I552" s="3"/>
      <c r="J552" s="3" t="s">
        <v>3020</v>
      </c>
      <c r="K552" s="3">
        <v>881125560</v>
      </c>
      <c r="L552" s="3" t="s">
        <v>3021</v>
      </c>
    </row>
    <row r="553" spans="1:12" x14ac:dyDescent="0.2">
      <c r="A553" s="1" t="s">
        <v>3022</v>
      </c>
      <c r="B553" s="2" t="str">
        <f>HYPERLINK("https://docket.philalegal.org/cgi-bin/proxy.pl?ct=220902253","220902253")</f>
        <v>220902253</v>
      </c>
      <c r="C553" s="3" t="s">
        <v>185</v>
      </c>
      <c r="D553" s="3" t="s">
        <v>18</v>
      </c>
      <c r="E553" s="3" t="s">
        <v>187</v>
      </c>
      <c r="F553" s="3" t="s">
        <v>188</v>
      </c>
      <c r="G553" s="3"/>
      <c r="H553" s="3" t="s">
        <v>3023</v>
      </c>
      <c r="I553" s="3" t="s">
        <v>3024</v>
      </c>
      <c r="J553" s="3" t="s">
        <v>3025</v>
      </c>
      <c r="K553" s="3">
        <v>472079405</v>
      </c>
      <c r="L553" s="3" t="s">
        <v>267</v>
      </c>
    </row>
    <row r="554" spans="1:12" x14ac:dyDescent="0.2">
      <c r="A554" s="1" t="s">
        <v>3026</v>
      </c>
      <c r="B554" s="2" t="str">
        <f>HYPERLINK("https://docket.philalegal.org/cgi-bin/proxy.pl?ct=160100091","160100091")</f>
        <v>160100091</v>
      </c>
      <c r="C554" s="3" t="s">
        <v>3027</v>
      </c>
      <c r="D554" s="3" t="s">
        <v>13</v>
      </c>
      <c r="E554" s="3" t="s">
        <v>35</v>
      </c>
      <c r="F554" s="3" t="s">
        <v>2502</v>
      </c>
      <c r="G554" s="3" t="s">
        <v>3839</v>
      </c>
      <c r="H554" s="3" t="s">
        <v>3028</v>
      </c>
      <c r="I554" s="3"/>
      <c r="J554" s="3" t="s">
        <v>3029</v>
      </c>
      <c r="K554" s="3">
        <v>262273200</v>
      </c>
      <c r="L554" s="3" t="s">
        <v>3030</v>
      </c>
    </row>
    <row r="555" spans="1:12" x14ac:dyDescent="0.2">
      <c r="A555" s="1" t="s">
        <v>3031</v>
      </c>
      <c r="B555" s="2" t="str">
        <f>HYPERLINK("https://docket.philalegal.org/cgi-bin/proxy.pl?ct=140801456","140801456")</f>
        <v>140801456</v>
      </c>
      <c r="C555" s="3" t="s">
        <v>3032</v>
      </c>
      <c r="D555" s="3" t="s">
        <v>13</v>
      </c>
      <c r="E555" s="3" t="s">
        <v>3033</v>
      </c>
      <c r="F555" s="3" t="s">
        <v>36</v>
      </c>
      <c r="G555" s="3" t="s">
        <v>3034</v>
      </c>
      <c r="H555" s="3" t="s">
        <v>3034</v>
      </c>
      <c r="I555" s="3" t="s">
        <v>3035</v>
      </c>
      <c r="J555" s="3" t="s">
        <v>3036</v>
      </c>
      <c r="K555" s="3">
        <v>871105450</v>
      </c>
      <c r="L555" s="3" t="s">
        <v>3037</v>
      </c>
    </row>
    <row r="556" spans="1:12" x14ac:dyDescent="0.2">
      <c r="A556" s="1" t="s">
        <v>3038</v>
      </c>
      <c r="B556" s="2" t="str">
        <f>HYPERLINK("https://docket.philalegal.org/cgi-bin/proxy.pl?ct=140602173","140602173")</f>
        <v>140602173</v>
      </c>
      <c r="C556" s="3" t="s">
        <v>3039</v>
      </c>
      <c r="D556" s="3" t="s">
        <v>18</v>
      </c>
      <c r="E556" s="3" t="s">
        <v>2216</v>
      </c>
      <c r="F556" s="3" t="s">
        <v>36</v>
      </c>
      <c r="G556" s="3" t="s">
        <v>3799</v>
      </c>
      <c r="H556" s="3" t="s">
        <v>3040</v>
      </c>
      <c r="I556" s="3" t="s">
        <v>282</v>
      </c>
      <c r="J556" s="3" t="s">
        <v>3041</v>
      </c>
      <c r="K556" s="3">
        <v>871520840</v>
      </c>
      <c r="L556" s="3" t="s">
        <v>3042</v>
      </c>
    </row>
    <row r="557" spans="1:12" x14ac:dyDescent="0.2">
      <c r="A557" s="1" t="s">
        <v>3043</v>
      </c>
      <c r="B557" s="2" t="str">
        <f>HYPERLINK("https://docket.philalegal.org/cgi-bin/proxy.pl?ct=221101272","221101272")</f>
        <v>221101272</v>
      </c>
      <c r="C557" s="3" t="s">
        <v>3044</v>
      </c>
      <c r="D557" s="3" t="s">
        <v>216</v>
      </c>
      <c r="E557" s="3" t="s">
        <v>194</v>
      </c>
      <c r="F557" s="3" t="s">
        <v>454</v>
      </c>
      <c r="G557" s="3" t="s">
        <v>3602</v>
      </c>
      <c r="H557" s="3" t="s">
        <v>3045</v>
      </c>
      <c r="I557" s="3"/>
      <c r="J557" s="3" t="s">
        <v>197</v>
      </c>
      <c r="K557" s="3">
        <v>871548690</v>
      </c>
      <c r="L557" s="3" t="s">
        <v>3046</v>
      </c>
    </row>
    <row r="558" spans="1:12" x14ac:dyDescent="0.2">
      <c r="A558" s="1" t="s">
        <v>3047</v>
      </c>
      <c r="B558" s="2" t="str">
        <f>HYPERLINK("https://docket.philalegal.org/cgi-bin/proxy.pl?ct=191102155","191102155")</f>
        <v>191102155</v>
      </c>
      <c r="C558" s="3" t="s">
        <v>293</v>
      </c>
      <c r="D558" s="3" t="s">
        <v>18</v>
      </c>
      <c r="E558" s="3" t="s">
        <v>187</v>
      </c>
      <c r="F558" s="3" t="s">
        <v>210</v>
      </c>
      <c r="G558" s="3" t="s">
        <v>3838</v>
      </c>
      <c r="H558" s="3" t="s">
        <v>3048</v>
      </c>
      <c r="I558" s="3"/>
      <c r="J558" s="3" t="s">
        <v>3049</v>
      </c>
      <c r="K558" s="3">
        <v>313231800</v>
      </c>
      <c r="L558" s="3" t="s">
        <v>267</v>
      </c>
    </row>
    <row r="559" spans="1:12" x14ac:dyDescent="0.2">
      <c r="A559" s="1" t="s">
        <v>3050</v>
      </c>
      <c r="B559" s="2" t="str">
        <f>HYPERLINK("https://docket.philalegal.org/cgi-bin/proxy.pl?ct=191000844","191000844")</f>
        <v>191000844</v>
      </c>
      <c r="C559" s="3" t="s">
        <v>185</v>
      </c>
      <c r="D559" s="3" t="s">
        <v>13</v>
      </c>
      <c r="E559" s="3" t="s">
        <v>187</v>
      </c>
      <c r="F559" s="3" t="s">
        <v>3051</v>
      </c>
      <c r="G559" s="3" t="s">
        <v>3052</v>
      </c>
      <c r="H559" s="3" t="s">
        <v>3052</v>
      </c>
      <c r="I559" s="3"/>
      <c r="J559" s="3" t="s">
        <v>3053</v>
      </c>
      <c r="K559" s="3">
        <v>361276100</v>
      </c>
      <c r="L559" s="3" t="s">
        <v>3054</v>
      </c>
    </row>
    <row r="560" spans="1:12" x14ac:dyDescent="0.2">
      <c r="A560" s="1" t="s">
        <v>3055</v>
      </c>
      <c r="B560" s="2" t="str">
        <f>HYPERLINK("https://docket.philalegal.org/cgi-bin/proxy.pl?ct=220303236","220303236")</f>
        <v>220303236</v>
      </c>
      <c r="C560" s="3" t="s">
        <v>3056</v>
      </c>
      <c r="D560" s="3" t="s">
        <v>216</v>
      </c>
      <c r="E560" s="3" t="s">
        <v>35</v>
      </c>
      <c r="F560" s="3" t="s">
        <v>36</v>
      </c>
      <c r="G560" s="3" t="s">
        <v>3837</v>
      </c>
      <c r="H560" s="3" t="s">
        <v>3057</v>
      </c>
      <c r="I560" s="3"/>
      <c r="J560" s="3" t="s">
        <v>3058</v>
      </c>
      <c r="K560" s="3">
        <v>365066100</v>
      </c>
      <c r="L560" s="3" t="s">
        <v>3059</v>
      </c>
    </row>
    <row r="561" spans="1:12" x14ac:dyDescent="0.2">
      <c r="A561" s="1" t="s">
        <v>3060</v>
      </c>
      <c r="B561" s="2" t="str">
        <f>HYPERLINK("https://docket.philalegal.org/cgi-bin/proxy.pl?ct=150300342","150300342")</f>
        <v>150300342</v>
      </c>
      <c r="C561" s="3" t="s">
        <v>884</v>
      </c>
      <c r="D561" s="3" t="s">
        <v>13</v>
      </c>
      <c r="E561" s="3" t="s">
        <v>885</v>
      </c>
      <c r="F561" s="3" t="s">
        <v>20</v>
      </c>
      <c r="G561" s="3" t="s">
        <v>3836</v>
      </c>
      <c r="H561" s="3" t="s">
        <v>887</v>
      </c>
      <c r="I561" s="3"/>
      <c r="J561" s="3" t="s">
        <v>889</v>
      </c>
      <c r="K561" s="3">
        <v>151100900</v>
      </c>
      <c r="L561" s="3" t="s">
        <v>3061</v>
      </c>
    </row>
    <row r="562" spans="1:12" x14ac:dyDescent="0.2">
      <c r="A562" s="1" t="s">
        <v>3062</v>
      </c>
      <c r="B562" s="2" t="str">
        <f>HYPERLINK("https://docket.philalegal.org/cgi-bin/proxy.pl?ct=180503236","180503236")</f>
        <v>180503236</v>
      </c>
      <c r="C562" s="3" t="s">
        <v>3063</v>
      </c>
      <c r="D562" s="3" t="s">
        <v>13</v>
      </c>
      <c r="E562" s="3" t="s">
        <v>230</v>
      </c>
      <c r="F562" s="3" t="s">
        <v>395</v>
      </c>
      <c r="G562" s="3" t="s">
        <v>3064</v>
      </c>
      <c r="H562" s="3" t="s">
        <v>3064</v>
      </c>
      <c r="I562" s="3"/>
      <c r="J562" s="3" t="s">
        <v>3065</v>
      </c>
      <c r="K562" s="3" t="s">
        <v>3066</v>
      </c>
      <c r="L562" s="3" t="s">
        <v>3067</v>
      </c>
    </row>
    <row r="563" spans="1:12" x14ac:dyDescent="0.2">
      <c r="A563" s="1" t="s">
        <v>3068</v>
      </c>
      <c r="B563" s="2" t="str">
        <f>HYPERLINK("https://docket.philalegal.org/cgi-bin/proxy.pl?ct=180600511","180600511")</f>
        <v>180600511</v>
      </c>
      <c r="C563" s="3" t="s">
        <v>3069</v>
      </c>
      <c r="D563" s="3" t="s">
        <v>13</v>
      </c>
      <c r="E563" s="3" t="s">
        <v>3070</v>
      </c>
      <c r="F563" s="3" t="s">
        <v>173</v>
      </c>
      <c r="G563" s="3" t="s">
        <v>3835</v>
      </c>
      <c r="H563" s="3" t="s">
        <v>3071</v>
      </c>
      <c r="I563" s="3"/>
      <c r="J563" s="3" t="s">
        <v>3072</v>
      </c>
      <c r="K563" s="3">
        <v>151376800</v>
      </c>
      <c r="L563" s="3" t="s">
        <v>3073</v>
      </c>
    </row>
    <row r="564" spans="1:12" x14ac:dyDescent="0.2">
      <c r="A564" s="1" t="s">
        <v>3074</v>
      </c>
      <c r="B564" s="2" t="str">
        <f>HYPERLINK("https://docket.philalegal.org/cgi-bin/proxy.pl?ct=181202552","181202552")</f>
        <v>181202552</v>
      </c>
      <c r="C564" s="3" t="s">
        <v>185</v>
      </c>
      <c r="D564" s="3" t="s">
        <v>13</v>
      </c>
      <c r="E564" s="3" t="s">
        <v>187</v>
      </c>
      <c r="F564" s="3" t="s">
        <v>497</v>
      </c>
      <c r="G564" s="3" t="s">
        <v>3834</v>
      </c>
      <c r="H564" s="3" t="s">
        <v>3075</v>
      </c>
      <c r="I564" s="3"/>
      <c r="J564" s="3" t="s">
        <v>3076</v>
      </c>
      <c r="K564" s="3">
        <v>291325500</v>
      </c>
      <c r="L564" s="3" t="s">
        <v>3077</v>
      </c>
    </row>
    <row r="565" spans="1:12" x14ac:dyDescent="0.2">
      <c r="A565" s="1" t="s">
        <v>3078</v>
      </c>
      <c r="B565" s="2" t="str">
        <f>HYPERLINK("https://docket.philalegal.org/cgi-bin/proxy.pl?ct=140202744","140202744")</f>
        <v>140202744</v>
      </c>
      <c r="C565" s="3" t="s">
        <v>3079</v>
      </c>
      <c r="D565" s="3" t="s">
        <v>18</v>
      </c>
      <c r="E565" s="3" t="s">
        <v>1834</v>
      </c>
      <c r="F565" s="3" t="s">
        <v>1835</v>
      </c>
      <c r="G565" s="3"/>
      <c r="H565" s="3" t="s">
        <v>3080</v>
      </c>
      <c r="I565" s="3" t="s">
        <v>3081</v>
      </c>
      <c r="J565" s="3" t="s">
        <v>3082</v>
      </c>
      <c r="K565" s="3">
        <v>221210500</v>
      </c>
      <c r="L565" s="3" t="s">
        <v>3083</v>
      </c>
    </row>
    <row r="566" spans="1:12" x14ac:dyDescent="0.2">
      <c r="A566" s="1" t="s">
        <v>3084</v>
      </c>
      <c r="B566" s="2" t="str">
        <f>HYPERLINK("https://docket.philalegal.org/cgi-bin/proxy.pl?ct=220601226","220601226")</f>
        <v>220601226</v>
      </c>
      <c r="C566" s="3" t="s">
        <v>325</v>
      </c>
      <c r="D566" s="3" t="s">
        <v>18</v>
      </c>
      <c r="E566" s="3" t="s">
        <v>326</v>
      </c>
      <c r="F566" s="3" t="s">
        <v>1372</v>
      </c>
      <c r="G566" s="3" t="s">
        <v>3085</v>
      </c>
      <c r="H566" s="3" t="s">
        <v>3085</v>
      </c>
      <c r="I566" s="3" t="s">
        <v>3086</v>
      </c>
      <c r="J566" s="3" t="s">
        <v>3087</v>
      </c>
      <c r="K566" s="3">
        <v>601010100</v>
      </c>
      <c r="L566" s="3" t="s">
        <v>3088</v>
      </c>
    </row>
    <row r="567" spans="1:12" x14ac:dyDescent="0.2">
      <c r="A567" s="1" t="s">
        <v>3089</v>
      </c>
      <c r="B567" s="2" t="str">
        <f>HYPERLINK("https://docket.philalegal.org/cgi-bin/proxy.pl?ct=200802652","200802652")</f>
        <v>200802652</v>
      </c>
      <c r="C567" s="3" t="s">
        <v>293</v>
      </c>
      <c r="D567" s="3" t="s">
        <v>18</v>
      </c>
      <c r="E567" s="3" t="s">
        <v>187</v>
      </c>
      <c r="F567" s="3" t="s">
        <v>1057</v>
      </c>
      <c r="G567" s="3" t="s">
        <v>3090</v>
      </c>
      <c r="H567" s="3" t="s">
        <v>3090</v>
      </c>
      <c r="I567" s="3"/>
      <c r="J567" s="3" t="s">
        <v>3091</v>
      </c>
      <c r="K567" s="3">
        <v>202175000</v>
      </c>
      <c r="L567" s="3" t="s">
        <v>3092</v>
      </c>
    </row>
    <row r="568" spans="1:12" x14ac:dyDescent="0.2">
      <c r="A568" s="1" t="s">
        <v>3093</v>
      </c>
      <c r="B568" s="2" t="str">
        <f>HYPERLINK("https://docket.philalegal.org/cgi-bin/proxy.pl?ct=190800185","190800185")</f>
        <v>190800185</v>
      </c>
      <c r="C568" s="3" t="s">
        <v>185</v>
      </c>
      <c r="D568" s="3" t="s">
        <v>18</v>
      </c>
      <c r="E568" s="3" t="s">
        <v>187</v>
      </c>
      <c r="F568" s="3" t="s">
        <v>3094</v>
      </c>
      <c r="G568" s="3"/>
      <c r="H568" s="3" t="s">
        <v>3095</v>
      </c>
      <c r="I568" s="3" t="s">
        <v>3096</v>
      </c>
      <c r="J568" s="3" t="s">
        <v>3097</v>
      </c>
      <c r="K568" s="3">
        <v>291071900</v>
      </c>
      <c r="L568" s="3" t="s">
        <v>267</v>
      </c>
    </row>
    <row r="569" spans="1:12" x14ac:dyDescent="0.2">
      <c r="A569" s="1" t="s">
        <v>3098</v>
      </c>
      <c r="B569" s="2" t="str">
        <f>HYPERLINK("https://docket.philalegal.org/cgi-bin/proxy.pl?ct=190502028","190502028")</f>
        <v>190502028</v>
      </c>
      <c r="C569" s="3" t="s">
        <v>3099</v>
      </c>
      <c r="D569" s="3" t="s">
        <v>18</v>
      </c>
      <c r="E569" s="3" t="s">
        <v>187</v>
      </c>
      <c r="F569" s="3" t="s">
        <v>210</v>
      </c>
      <c r="G569" s="3" t="s">
        <v>3833</v>
      </c>
      <c r="H569" s="3" t="s">
        <v>3100</v>
      </c>
      <c r="I569" s="3" t="s">
        <v>3101</v>
      </c>
      <c r="J569" s="3" t="s">
        <v>3102</v>
      </c>
      <c r="K569" s="3">
        <v>365265900</v>
      </c>
      <c r="L569" s="3" t="s">
        <v>267</v>
      </c>
    </row>
    <row r="570" spans="1:12" x14ac:dyDescent="0.2">
      <c r="A570" s="1" t="s">
        <v>3103</v>
      </c>
      <c r="B570" s="2" t="str">
        <f>HYPERLINK("https://docket.philalegal.org/cgi-bin/proxy.pl?ct=160301872","160301872")</f>
        <v>160301872</v>
      </c>
      <c r="C570" s="3" t="s">
        <v>3104</v>
      </c>
      <c r="D570" s="3" t="s">
        <v>13</v>
      </c>
      <c r="E570" s="3" t="s">
        <v>201</v>
      </c>
      <c r="F570" s="3" t="s">
        <v>566</v>
      </c>
      <c r="G570" s="3" t="s">
        <v>3105</v>
      </c>
      <c r="H570" s="3" t="s">
        <v>3105</v>
      </c>
      <c r="I570" s="3"/>
      <c r="J570" s="3" t="s">
        <v>3106</v>
      </c>
      <c r="K570" s="3">
        <v>292190900</v>
      </c>
      <c r="L570" s="3" t="s">
        <v>3107</v>
      </c>
    </row>
    <row r="571" spans="1:12" x14ac:dyDescent="0.2">
      <c r="A571" s="1" t="s">
        <v>3108</v>
      </c>
      <c r="B571" s="2" t="str">
        <f>HYPERLINK("https://docket.philalegal.org/cgi-bin/proxy.pl?ct=161200080","161200080")</f>
        <v>161200080</v>
      </c>
      <c r="C571" s="3" t="s">
        <v>3109</v>
      </c>
      <c r="D571" s="3" t="s">
        <v>13</v>
      </c>
      <c r="E571" s="3" t="s">
        <v>35</v>
      </c>
      <c r="F571" s="3" t="s">
        <v>313</v>
      </c>
      <c r="G571" s="3" t="s">
        <v>3832</v>
      </c>
      <c r="H571" s="3" t="s">
        <v>3110</v>
      </c>
      <c r="I571" s="3" t="s">
        <v>3111</v>
      </c>
      <c r="J571" s="3" t="s">
        <v>3112</v>
      </c>
      <c r="K571" s="3">
        <v>871535430</v>
      </c>
      <c r="L571" s="3" t="s">
        <v>3113</v>
      </c>
    </row>
    <row r="572" spans="1:12" x14ac:dyDescent="0.2">
      <c r="A572" s="1" t="s">
        <v>3114</v>
      </c>
      <c r="B572" s="2" t="str">
        <f>HYPERLINK("https://docket.philalegal.org/cgi-bin/proxy.pl?ct=230501015","230501015")</f>
        <v>230501015</v>
      </c>
      <c r="C572" s="3" t="s">
        <v>185</v>
      </c>
      <c r="D572" s="3" t="s">
        <v>208</v>
      </c>
      <c r="E572" s="3" t="s">
        <v>185</v>
      </c>
      <c r="F572" s="3" t="s">
        <v>210</v>
      </c>
      <c r="G572" s="3"/>
      <c r="H572" s="3" t="s">
        <v>3115</v>
      </c>
      <c r="I572" s="3"/>
      <c r="J572" s="3" t="s">
        <v>3116</v>
      </c>
      <c r="K572" s="3">
        <v>371144301</v>
      </c>
      <c r="L572" s="3" t="s">
        <v>3117</v>
      </c>
    </row>
    <row r="573" spans="1:12" x14ac:dyDescent="0.2">
      <c r="A573" s="1" t="s">
        <v>3118</v>
      </c>
      <c r="B573" s="2" t="str">
        <f>HYPERLINK("https://docket.philalegal.org/cgi-bin/proxy.pl?ct=200501864","200501864")</f>
        <v>200501864</v>
      </c>
      <c r="C573" s="3" t="s">
        <v>3119</v>
      </c>
      <c r="D573" s="3" t="s">
        <v>13</v>
      </c>
      <c r="E573" s="3" t="s">
        <v>3120</v>
      </c>
      <c r="F573" s="3" t="s">
        <v>36</v>
      </c>
      <c r="G573" s="3" t="s">
        <v>1026</v>
      </c>
      <c r="H573" s="3" t="s">
        <v>1026</v>
      </c>
      <c r="I573" s="3" t="s">
        <v>3121</v>
      </c>
      <c r="J573" s="3" t="s">
        <v>3122</v>
      </c>
      <c r="K573" s="3">
        <v>151352610</v>
      </c>
      <c r="L573" s="3" t="s">
        <v>3123</v>
      </c>
    </row>
    <row r="574" spans="1:12" x14ac:dyDescent="0.2">
      <c r="A574" s="1" t="s">
        <v>3124</v>
      </c>
      <c r="B574" s="2" t="str">
        <f>HYPERLINK("https://docket.philalegal.org/cgi-bin/proxy.pl?ct=210900828","210900828")</f>
        <v>210900828</v>
      </c>
      <c r="C574" s="3" t="s">
        <v>3125</v>
      </c>
      <c r="D574" s="3" t="s">
        <v>332</v>
      </c>
      <c r="E574" s="3" t="s">
        <v>3126</v>
      </c>
      <c r="F574" s="3" t="s">
        <v>36</v>
      </c>
      <c r="G574" s="3" t="s">
        <v>3831</v>
      </c>
      <c r="H574" s="3" t="s">
        <v>3127</v>
      </c>
      <c r="I574" s="3" t="s">
        <v>3128</v>
      </c>
      <c r="J574" s="3" t="s">
        <v>3129</v>
      </c>
      <c r="K574" s="3">
        <v>364184700</v>
      </c>
      <c r="L574" s="3" t="s">
        <v>3130</v>
      </c>
    </row>
    <row r="575" spans="1:12" x14ac:dyDescent="0.2">
      <c r="A575" s="1" t="s">
        <v>3131</v>
      </c>
      <c r="B575" s="2" t="str">
        <f>HYPERLINK("https://docket.philalegal.org/cgi-bin/proxy.pl?ct=170101025","170101025")</f>
        <v>170101025</v>
      </c>
      <c r="C575" s="3" t="s">
        <v>3132</v>
      </c>
      <c r="D575" s="3" t="s">
        <v>13</v>
      </c>
      <c r="E575" s="3" t="s">
        <v>2216</v>
      </c>
      <c r="F575" s="3" t="s">
        <v>173</v>
      </c>
      <c r="G575" s="3" t="s">
        <v>3830</v>
      </c>
      <c r="H575" s="3" t="s">
        <v>3133</v>
      </c>
      <c r="I575" s="3" t="s">
        <v>3134</v>
      </c>
      <c r="J575" s="3" t="s">
        <v>3135</v>
      </c>
      <c r="K575" s="3">
        <v>311132500</v>
      </c>
      <c r="L575" s="3" t="s">
        <v>3136</v>
      </c>
    </row>
    <row r="576" spans="1:12" x14ac:dyDescent="0.2">
      <c r="A576" s="1" t="s">
        <v>3137</v>
      </c>
      <c r="B576" s="2" t="str">
        <f>HYPERLINK("https://docket.philalegal.org/cgi-bin/proxy.pl?ct=180302748","180302748")</f>
        <v>180302748</v>
      </c>
      <c r="C576" s="3" t="s">
        <v>3138</v>
      </c>
      <c r="D576" s="3" t="s">
        <v>13</v>
      </c>
      <c r="E576" s="3" t="s">
        <v>319</v>
      </c>
      <c r="F576" s="3" t="s">
        <v>2175</v>
      </c>
      <c r="G576" s="3" t="s">
        <v>3829</v>
      </c>
      <c r="H576" s="3" t="s">
        <v>3139</v>
      </c>
      <c r="I576" s="3" t="s">
        <v>3140</v>
      </c>
      <c r="J576" s="3" t="s">
        <v>3141</v>
      </c>
      <c r="K576" s="3">
        <v>291309800</v>
      </c>
      <c r="L576" s="3" t="s">
        <v>3142</v>
      </c>
    </row>
    <row r="577" spans="1:12" x14ac:dyDescent="0.2">
      <c r="A577" s="1" t="s">
        <v>3143</v>
      </c>
      <c r="B577" s="2" t="str">
        <f>HYPERLINK("https://docket.philalegal.org/cgi-bin/proxy.pl?ct=170303006","170303006")</f>
        <v>170303006</v>
      </c>
      <c r="C577" s="3" t="s">
        <v>185</v>
      </c>
      <c r="D577" s="3" t="s">
        <v>18</v>
      </c>
      <c r="E577" s="3" t="s">
        <v>187</v>
      </c>
      <c r="F577" s="3" t="s">
        <v>210</v>
      </c>
      <c r="G577" s="3"/>
      <c r="H577" s="3" t="s">
        <v>3144</v>
      </c>
      <c r="I577" s="3"/>
      <c r="J577" s="3" t="s">
        <v>3145</v>
      </c>
      <c r="K577" s="3">
        <v>363228500</v>
      </c>
      <c r="L577" s="3" t="s">
        <v>773</v>
      </c>
    </row>
    <row r="578" spans="1:12" x14ac:dyDescent="0.2">
      <c r="A578" s="1" t="s">
        <v>3146</v>
      </c>
      <c r="B578" s="2" t="str">
        <f>HYPERLINK("https://docket.philalegal.org/cgi-bin/proxy.pl?ct=230702260","230702260")</f>
        <v>230702260</v>
      </c>
      <c r="C578" s="3" t="s">
        <v>3147</v>
      </c>
      <c r="D578" s="3" t="s">
        <v>208</v>
      </c>
      <c r="E578" s="3" t="s">
        <v>35</v>
      </c>
      <c r="F578" s="3" t="s">
        <v>44</v>
      </c>
      <c r="G578" s="3"/>
      <c r="H578" s="3" t="s">
        <v>3148</v>
      </c>
      <c r="I578" s="3"/>
      <c r="J578" s="3" t="s">
        <v>523</v>
      </c>
      <c r="K578" s="3">
        <v>112001600</v>
      </c>
      <c r="L578" s="3" t="s">
        <v>3149</v>
      </c>
    </row>
    <row r="579" spans="1:12" x14ac:dyDescent="0.2">
      <c r="A579" s="1" t="s">
        <v>3150</v>
      </c>
      <c r="B579" s="2" t="str">
        <f>HYPERLINK("https://docket.philalegal.org/cgi-bin/proxy.pl?ct=120402904","120402904")</f>
        <v>120402904</v>
      </c>
      <c r="C579" s="3" t="s">
        <v>3151</v>
      </c>
      <c r="D579" s="3" t="s">
        <v>18</v>
      </c>
      <c r="E579" s="3" t="s">
        <v>35</v>
      </c>
      <c r="F579" s="3" t="s">
        <v>36</v>
      </c>
      <c r="G579" s="3" t="s">
        <v>3152</v>
      </c>
      <c r="H579" s="3" t="s">
        <v>3152</v>
      </c>
      <c r="I579" s="3" t="s">
        <v>246</v>
      </c>
      <c r="J579" s="3" t="s">
        <v>3153</v>
      </c>
      <c r="K579" s="3" t="s">
        <v>1870</v>
      </c>
      <c r="L579" s="3" t="s">
        <v>1738</v>
      </c>
    </row>
    <row r="580" spans="1:12" x14ac:dyDescent="0.2">
      <c r="A580" s="1" t="s">
        <v>3154</v>
      </c>
      <c r="B580" s="2" t="str">
        <f>HYPERLINK("https://docket.philalegal.org/cgi-bin/proxy.pl?ct=190402959","190402959")</f>
        <v>190402959</v>
      </c>
      <c r="C580" s="3" t="s">
        <v>3155</v>
      </c>
      <c r="D580" s="3" t="s">
        <v>13</v>
      </c>
      <c r="E580" s="3" t="s">
        <v>807</v>
      </c>
      <c r="F580" s="3" t="s">
        <v>36</v>
      </c>
      <c r="G580" s="3" t="s">
        <v>3828</v>
      </c>
      <c r="H580" s="3" t="s">
        <v>3156</v>
      </c>
      <c r="I580" s="3" t="s">
        <v>3157</v>
      </c>
      <c r="J580" s="3" t="s">
        <v>3158</v>
      </c>
      <c r="K580" s="3">
        <v>301225500</v>
      </c>
      <c r="L580" s="3" t="s">
        <v>3159</v>
      </c>
    </row>
    <row r="581" spans="1:12" x14ac:dyDescent="0.2">
      <c r="A581" s="1" t="s">
        <v>3160</v>
      </c>
      <c r="B581" s="2" t="str">
        <f>HYPERLINK("https://docket.philalegal.org/cgi-bin/proxy.pl?ct=150600740","150600740")</f>
        <v>150600740</v>
      </c>
      <c r="C581" s="3" t="s">
        <v>3161</v>
      </c>
      <c r="D581" s="3" t="s">
        <v>18</v>
      </c>
      <c r="E581" s="3" t="s">
        <v>35</v>
      </c>
      <c r="F581" s="3" t="s">
        <v>36</v>
      </c>
      <c r="G581" s="3" t="s">
        <v>3827</v>
      </c>
      <c r="H581" s="3" t="s">
        <v>3162</v>
      </c>
      <c r="I581" s="3" t="s">
        <v>168</v>
      </c>
      <c r="J581" s="3" t="s">
        <v>3163</v>
      </c>
      <c r="K581" s="3">
        <v>365400500</v>
      </c>
      <c r="L581" s="3" t="s">
        <v>3164</v>
      </c>
    </row>
    <row r="582" spans="1:12" x14ac:dyDescent="0.2">
      <c r="A582" s="1" t="s">
        <v>3165</v>
      </c>
      <c r="B582" s="2" t="str">
        <f>HYPERLINK("https://docket.philalegal.org/cgi-bin/proxy.pl?ct=230101740","230101740")</f>
        <v>230101740</v>
      </c>
      <c r="C582" s="3" t="s">
        <v>3166</v>
      </c>
      <c r="D582" s="3" t="s">
        <v>18</v>
      </c>
      <c r="E582" s="3" t="s">
        <v>3167</v>
      </c>
      <c r="F582" s="3" t="s">
        <v>20</v>
      </c>
      <c r="G582" s="3"/>
      <c r="H582" s="3" t="s">
        <v>434</v>
      </c>
      <c r="I582" s="3" t="s">
        <v>1981</v>
      </c>
      <c r="J582" s="3" t="s">
        <v>3168</v>
      </c>
      <c r="K582" s="3">
        <v>364419215</v>
      </c>
      <c r="L582" s="3" t="s">
        <v>1398</v>
      </c>
    </row>
    <row r="583" spans="1:12" x14ac:dyDescent="0.2">
      <c r="A583" s="1" t="s">
        <v>3169</v>
      </c>
      <c r="B583" s="2" t="str">
        <f>HYPERLINK("https://docket.philalegal.org/cgi-bin/proxy.pl?ct=160502348","160502348")</f>
        <v>160502348</v>
      </c>
      <c r="C583" s="3" t="s">
        <v>3170</v>
      </c>
      <c r="D583" s="3" t="s">
        <v>13</v>
      </c>
      <c r="E583" s="3" t="s">
        <v>1149</v>
      </c>
      <c r="F583" s="3" t="s">
        <v>173</v>
      </c>
      <c r="G583" s="3" t="s">
        <v>3171</v>
      </c>
      <c r="H583" s="3" t="s">
        <v>3171</v>
      </c>
      <c r="I583" s="3" t="s">
        <v>3172</v>
      </c>
      <c r="J583" s="3" t="s">
        <v>3173</v>
      </c>
      <c r="K583" s="3">
        <v>365168000</v>
      </c>
      <c r="L583" s="3" t="s">
        <v>3174</v>
      </c>
    </row>
    <row r="584" spans="1:12" x14ac:dyDescent="0.2">
      <c r="A584" s="1" t="s">
        <v>3175</v>
      </c>
      <c r="B584" s="2" t="str">
        <f>HYPERLINK("https://docket.philalegal.org/cgi-bin/proxy.pl?ct=140801952","140801952")</f>
        <v>140801952</v>
      </c>
      <c r="C584" s="3" t="s">
        <v>582</v>
      </c>
      <c r="D584" s="3" t="s">
        <v>18</v>
      </c>
      <c r="E584" s="3" t="s">
        <v>583</v>
      </c>
      <c r="F584" s="3" t="s">
        <v>36</v>
      </c>
      <c r="G584" s="3" t="s">
        <v>584</v>
      </c>
      <c r="H584" s="3" t="s">
        <v>584</v>
      </c>
      <c r="I584" s="3" t="s">
        <v>1222</v>
      </c>
      <c r="J584" s="3" t="s">
        <v>3176</v>
      </c>
      <c r="K584" s="3">
        <v>182301100</v>
      </c>
      <c r="L584" s="3" t="s">
        <v>586</v>
      </c>
    </row>
    <row r="585" spans="1:12" x14ac:dyDescent="0.2">
      <c r="A585" s="1" t="s">
        <v>3177</v>
      </c>
      <c r="B585" s="2" t="str">
        <f>HYPERLINK("https://docket.philalegal.org/cgi-bin/proxy.pl?ct=181200119","181200119")</f>
        <v>181200119</v>
      </c>
      <c r="C585" s="3" t="s">
        <v>3178</v>
      </c>
      <c r="D585" s="3" t="s">
        <v>18</v>
      </c>
      <c r="E585" s="3" t="s">
        <v>595</v>
      </c>
      <c r="F585" s="3" t="s">
        <v>44</v>
      </c>
      <c r="G585" s="3" t="s">
        <v>3179</v>
      </c>
      <c r="H585" s="3" t="s">
        <v>3179</v>
      </c>
      <c r="I585" s="3" t="s">
        <v>2147</v>
      </c>
      <c r="J585" s="3" t="s">
        <v>3180</v>
      </c>
      <c r="K585" s="3" t="s">
        <v>3181</v>
      </c>
      <c r="L585" s="3" t="s">
        <v>600</v>
      </c>
    </row>
    <row r="586" spans="1:12" x14ac:dyDescent="0.2">
      <c r="A586" s="1" t="s">
        <v>3182</v>
      </c>
      <c r="B586" s="2" t="str">
        <f>HYPERLINK("https://docket.philalegal.org/cgi-bin/proxy.pl?ct=200701903","200701903")</f>
        <v>200701903</v>
      </c>
      <c r="C586" s="3" t="s">
        <v>3183</v>
      </c>
      <c r="D586" s="3" t="s">
        <v>13</v>
      </c>
      <c r="E586" s="3" t="s">
        <v>460</v>
      </c>
      <c r="F586" s="3" t="s">
        <v>461</v>
      </c>
      <c r="G586" s="3" t="s">
        <v>3826</v>
      </c>
      <c r="H586" s="3" t="s">
        <v>3184</v>
      </c>
      <c r="I586" s="3" t="s">
        <v>3185</v>
      </c>
      <c r="J586" s="3" t="s">
        <v>3186</v>
      </c>
      <c r="K586" s="3">
        <v>871068950</v>
      </c>
      <c r="L586" s="3" t="s">
        <v>1716</v>
      </c>
    </row>
    <row r="587" spans="1:12" x14ac:dyDescent="0.2">
      <c r="A587" s="1" t="s">
        <v>3187</v>
      </c>
      <c r="B587" s="2" t="str">
        <f>HYPERLINK("https://docket.philalegal.org/cgi-bin/proxy.pl?ct=190300115","190300115")</f>
        <v>190300115</v>
      </c>
      <c r="C587" s="3" t="s">
        <v>185</v>
      </c>
      <c r="D587" s="3" t="s">
        <v>18</v>
      </c>
      <c r="E587" s="3" t="s">
        <v>187</v>
      </c>
      <c r="F587" s="3" t="s">
        <v>688</v>
      </c>
      <c r="G587" s="3" t="s">
        <v>1809</v>
      </c>
      <c r="H587" s="3" t="s">
        <v>1809</v>
      </c>
      <c r="I587" s="3"/>
      <c r="J587" s="3" t="s">
        <v>3188</v>
      </c>
      <c r="K587" s="3">
        <v>291084300</v>
      </c>
      <c r="L587" s="3" t="s">
        <v>267</v>
      </c>
    </row>
    <row r="588" spans="1:12" x14ac:dyDescent="0.2">
      <c r="A588" s="1" t="s">
        <v>3189</v>
      </c>
      <c r="B588" s="2" t="str">
        <f>HYPERLINK("https://docket.philalegal.org/cgi-bin/proxy.pl?ct=160402518","160402518")</f>
        <v>160402518</v>
      </c>
      <c r="C588" s="3" t="s">
        <v>3190</v>
      </c>
      <c r="D588" s="3" t="s">
        <v>13</v>
      </c>
      <c r="E588" s="3" t="s">
        <v>980</v>
      </c>
      <c r="F588" s="3" t="s">
        <v>313</v>
      </c>
      <c r="G588" s="3" t="s">
        <v>3825</v>
      </c>
      <c r="H588" s="3" t="s">
        <v>3191</v>
      </c>
      <c r="I588" s="3" t="s">
        <v>246</v>
      </c>
      <c r="J588" s="3" t="s">
        <v>3192</v>
      </c>
      <c r="K588" s="3">
        <v>481244300</v>
      </c>
      <c r="L588" s="3" t="s">
        <v>3193</v>
      </c>
    </row>
    <row r="589" spans="1:12" x14ac:dyDescent="0.2">
      <c r="A589" s="1" t="s">
        <v>3194</v>
      </c>
      <c r="B589" s="2" t="str">
        <f>HYPERLINK("https://docket.philalegal.org/cgi-bin/proxy.pl?ct=150703658","150703658")</f>
        <v>150703658</v>
      </c>
      <c r="C589" s="3" t="s">
        <v>3195</v>
      </c>
      <c r="D589" s="3" t="s">
        <v>13</v>
      </c>
      <c r="E589" s="3" t="s">
        <v>781</v>
      </c>
      <c r="F589" s="3" t="s">
        <v>36</v>
      </c>
      <c r="G589" s="3" t="s">
        <v>3824</v>
      </c>
      <c r="H589" s="3" t="s">
        <v>3196</v>
      </c>
      <c r="I589" s="3" t="s">
        <v>3197</v>
      </c>
      <c r="J589" s="3" t="s">
        <v>3198</v>
      </c>
      <c r="K589" s="3">
        <v>292203500</v>
      </c>
      <c r="L589" s="3" t="s">
        <v>3199</v>
      </c>
    </row>
    <row r="590" spans="1:12" x14ac:dyDescent="0.2">
      <c r="A590" s="1" t="s">
        <v>3200</v>
      </c>
      <c r="B590" s="2" t="str">
        <f>HYPERLINK("https://docket.philalegal.org/cgi-bin/proxy.pl?ct=190701257","190701257")</f>
        <v>190701257</v>
      </c>
      <c r="C590" s="3" t="s">
        <v>3201</v>
      </c>
      <c r="D590" s="3" t="s">
        <v>18</v>
      </c>
      <c r="E590" s="3" t="s">
        <v>3202</v>
      </c>
      <c r="F590" s="3" t="s">
        <v>210</v>
      </c>
      <c r="G590" s="3" t="s">
        <v>3823</v>
      </c>
      <c r="H590" s="3" t="s">
        <v>3203</v>
      </c>
      <c r="I590" s="3" t="s">
        <v>3204</v>
      </c>
      <c r="J590" s="3" t="s">
        <v>3205</v>
      </c>
      <c r="K590" s="3">
        <v>412453000</v>
      </c>
      <c r="L590" s="3" t="s">
        <v>3206</v>
      </c>
    </row>
    <row r="591" spans="1:12" x14ac:dyDescent="0.2">
      <c r="A591" s="1" t="s">
        <v>3207</v>
      </c>
      <c r="B591" s="2" t="str">
        <f>HYPERLINK("https://docket.philalegal.org/cgi-bin/proxy.pl?ct=150401236","150401236")</f>
        <v>150401236</v>
      </c>
      <c r="C591" s="3" t="s">
        <v>377</v>
      </c>
      <c r="D591" s="3" t="s">
        <v>13</v>
      </c>
      <c r="E591" s="3" t="s">
        <v>378</v>
      </c>
      <c r="F591" s="3" t="s">
        <v>36</v>
      </c>
      <c r="G591" s="3"/>
      <c r="H591" s="3" t="s">
        <v>379</v>
      </c>
      <c r="I591" s="3" t="s">
        <v>168</v>
      </c>
      <c r="J591" s="3" t="s">
        <v>380</v>
      </c>
      <c r="K591" s="3">
        <v>152112000</v>
      </c>
      <c r="L591" s="3" t="s">
        <v>3208</v>
      </c>
    </row>
    <row r="592" spans="1:12" x14ac:dyDescent="0.2">
      <c r="A592" s="1" t="s">
        <v>3209</v>
      </c>
      <c r="B592" s="2" t="str">
        <f>HYPERLINK("https://docket.philalegal.org/cgi-bin/proxy.pl?ct=141101306","141101306")</f>
        <v>141101306</v>
      </c>
      <c r="C592" s="3" t="s">
        <v>1154</v>
      </c>
      <c r="D592" s="3" t="s">
        <v>13</v>
      </c>
      <c r="E592" s="3" t="s">
        <v>526</v>
      </c>
      <c r="F592" s="3" t="s">
        <v>36</v>
      </c>
      <c r="G592" s="3" t="s">
        <v>1155</v>
      </c>
      <c r="H592" s="3" t="s">
        <v>1155</v>
      </c>
      <c r="I592" s="3" t="s">
        <v>3210</v>
      </c>
      <c r="J592" s="3" t="s">
        <v>1156</v>
      </c>
      <c r="K592" s="3">
        <v>292201500</v>
      </c>
      <c r="L592" s="3" t="s">
        <v>3211</v>
      </c>
    </row>
    <row r="593" spans="1:12" x14ac:dyDescent="0.2">
      <c r="A593" s="1" t="s">
        <v>3212</v>
      </c>
      <c r="B593" s="2" t="str">
        <f>HYPERLINK("https://docket.philalegal.org/cgi-bin/proxy.pl?ct=240200364","240200364")</f>
        <v>240200364</v>
      </c>
      <c r="C593" s="3" t="s">
        <v>185</v>
      </c>
      <c r="D593" s="3" t="s">
        <v>208</v>
      </c>
      <c r="E593" s="3" t="s">
        <v>185</v>
      </c>
      <c r="F593" s="3" t="s">
        <v>188</v>
      </c>
      <c r="G593" s="3"/>
      <c r="H593" s="3" t="s">
        <v>1184</v>
      </c>
      <c r="I593" s="3"/>
      <c r="J593" s="3" t="s">
        <v>3213</v>
      </c>
      <c r="K593" s="3">
        <v>886651100</v>
      </c>
      <c r="L593" s="3" t="s">
        <v>3214</v>
      </c>
    </row>
    <row r="594" spans="1:12" x14ac:dyDescent="0.2">
      <c r="A594" s="1" t="s">
        <v>3215</v>
      </c>
      <c r="B594" s="2" t="str">
        <f>HYPERLINK("https://docket.philalegal.org/cgi-bin/proxy.pl?ct=220602719","220602719")</f>
        <v>220602719</v>
      </c>
      <c r="C594" s="3" t="s">
        <v>185</v>
      </c>
      <c r="D594" s="3" t="s">
        <v>18</v>
      </c>
      <c r="E594" s="3" t="s">
        <v>187</v>
      </c>
      <c r="F594" s="3" t="s">
        <v>210</v>
      </c>
      <c r="G594" s="3" t="s">
        <v>3822</v>
      </c>
      <c r="H594" s="3" t="s">
        <v>3216</v>
      </c>
      <c r="I594" s="3" t="s">
        <v>3217</v>
      </c>
      <c r="J594" s="3" t="s">
        <v>3218</v>
      </c>
      <c r="K594" s="3">
        <v>361300100</v>
      </c>
      <c r="L594" s="3" t="s">
        <v>267</v>
      </c>
    </row>
    <row r="595" spans="1:12" x14ac:dyDescent="0.2">
      <c r="A595" s="1" t="s">
        <v>3219</v>
      </c>
      <c r="B595" s="2" t="str">
        <f>HYPERLINK("https://docket.philalegal.org/cgi-bin/proxy.pl?ct=200300041","200300041")</f>
        <v>200300041</v>
      </c>
      <c r="C595" s="3" t="s">
        <v>3220</v>
      </c>
      <c r="D595" s="3" t="s">
        <v>186</v>
      </c>
      <c r="E595" s="3" t="s">
        <v>230</v>
      </c>
      <c r="F595" s="3" t="s">
        <v>36</v>
      </c>
      <c r="G595" s="3" t="s">
        <v>3821</v>
      </c>
      <c r="H595" s="3" t="s">
        <v>3221</v>
      </c>
      <c r="I595" s="3"/>
      <c r="J595" s="3" t="s">
        <v>3222</v>
      </c>
      <c r="K595" s="3">
        <v>363129400</v>
      </c>
      <c r="L595" s="3" t="s">
        <v>3223</v>
      </c>
    </row>
    <row r="596" spans="1:12" x14ac:dyDescent="0.2">
      <c r="A596" s="1" t="s">
        <v>3224</v>
      </c>
      <c r="B596" s="2" t="str">
        <f>HYPERLINK("https://docket.philalegal.org/cgi-bin/proxy.pl?ct=190900390","190900390")</f>
        <v>190900390</v>
      </c>
      <c r="C596" s="3" t="s">
        <v>185</v>
      </c>
      <c r="D596" s="3" t="s">
        <v>18</v>
      </c>
      <c r="E596" s="3" t="s">
        <v>187</v>
      </c>
      <c r="F596" s="3" t="s">
        <v>688</v>
      </c>
      <c r="G596" s="3" t="s">
        <v>3820</v>
      </c>
      <c r="H596" s="3" t="s">
        <v>3225</v>
      </c>
      <c r="I596" s="3"/>
      <c r="J596" s="3" t="s">
        <v>3226</v>
      </c>
      <c r="K596" s="3">
        <v>323188100</v>
      </c>
      <c r="L596" s="3" t="s">
        <v>267</v>
      </c>
    </row>
    <row r="597" spans="1:12" x14ac:dyDescent="0.2">
      <c r="A597" s="1" t="s">
        <v>3227</v>
      </c>
      <c r="B597" s="2" t="str">
        <f>HYPERLINK("https://docket.philalegal.org/cgi-bin/proxy.pl?ct=160400235","160400235")</f>
        <v>160400235</v>
      </c>
      <c r="C597" s="3" t="s">
        <v>2339</v>
      </c>
      <c r="D597" s="3" t="s">
        <v>13</v>
      </c>
      <c r="E597" s="3" t="s">
        <v>35</v>
      </c>
      <c r="F597" s="3" t="s">
        <v>173</v>
      </c>
      <c r="G597" s="3" t="s">
        <v>3819</v>
      </c>
      <c r="H597" s="3" t="s">
        <v>3228</v>
      </c>
      <c r="I597" s="3" t="s">
        <v>3229</v>
      </c>
      <c r="J597" s="3" t="s">
        <v>3230</v>
      </c>
      <c r="K597" s="3">
        <v>365308600</v>
      </c>
      <c r="L597" s="3" t="s">
        <v>3231</v>
      </c>
    </row>
    <row r="598" spans="1:12" x14ac:dyDescent="0.2">
      <c r="A598" s="1" t="s">
        <v>3232</v>
      </c>
      <c r="B598" s="2" t="str">
        <f>HYPERLINK("https://docket.philalegal.org/cgi-bin/proxy.pl?ct=190302057","190302057")</f>
        <v>190302057</v>
      </c>
      <c r="C598" s="3" t="s">
        <v>185</v>
      </c>
      <c r="D598" s="3" t="s">
        <v>911</v>
      </c>
      <c r="E598" s="3" t="s">
        <v>187</v>
      </c>
      <c r="F598" s="3" t="s">
        <v>688</v>
      </c>
      <c r="G598" s="3" t="s">
        <v>3818</v>
      </c>
      <c r="H598" s="3" t="s">
        <v>3233</v>
      </c>
      <c r="I598" s="3" t="s">
        <v>19</v>
      </c>
      <c r="J598" s="3" t="s">
        <v>3234</v>
      </c>
      <c r="K598" s="3">
        <v>291081000</v>
      </c>
      <c r="L598" s="3" t="s">
        <v>3235</v>
      </c>
    </row>
    <row r="599" spans="1:12" x14ac:dyDescent="0.2">
      <c r="A599" s="1" t="s">
        <v>3236</v>
      </c>
      <c r="B599" s="2" t="str">
        <f>HYPERLINK("https://docket.philalegal.org/cgi-bin/proxy.pl?ct=170902690","170902690")</f>
        <v>170902690</v>
      </c>
      <c r="C599" s="3" t="s">
        <v>3237</v>
      </c>
      <c r="D599" s="3" t="s">
        <v>841</v>
      </c>
      <c r="E599" s="3" t="s">
        <v>1566</v>
      </c>
      <c r="F599" s="3" t="s">
        <v>3238</v>
      </c>
      <c r="G599" s="3" t="s">
        <v>3817</v>
      </c>
      <c r="H599" s="3" t="s">
        <v>3239</v>
      </c>
      <c r="I599" s="3" t="s">
        <v>3240</v>
      </c>
      <c r="J599" s="3" t="s">
        <v>3241</v>
      </c>
      <c r="K599" s="3" t="s">
        <v>3242</v>
      </c>
      <c r="L599" s="3" t="s">
        <v>3243</v>
      </c>
    </row>
    <row r="600" spans="1:12" x14ac:dyDescent="0.2">
      <c r="A600" s="1" t="s">
        <v>3244</v>
      </c>
      <c r="B600" s="2" t="str">
        <f>HYPERLINK("https://docket.philalegal.org/cgi-bin/proxy.pl?ct=231001234","231001234")</f>
        <v>231001234</v>
      </c>
      <c r="C600" s="3" t="s">
        <v>3245</v>
      </c>
      <c r="D600" s="3" t="s">
        <v>208</v>
      </c>
      <c r="E600" s="3" t="s">
        <v>3246</v>
      </c>
      <c r="F600" s="3" t="s">
        <v>36</v>
      </c>
      <c r="G600" s="3"/>
      <c r="H600" s="3" t="s">
        <v>1184</v>
      </c>
      <c r="I600" s="3"/>
      <c r="J600" s="3" t="s">
        <v>3247</v>
      </c>
      <c r="K600" s="3">
        <v>775681501</v>
      </c>
      <c r="L600" s="3" t="s">
        <v>3248</v>
      </c>
    </row>
    <row r="601" spans="1:12" x14ac:dyDescent="0.2">
      <c r="A601" s="1" t="s">
        <v>3249</v>
      </c>
      <c r="B601" s="2" t="str">
        <f>HYPERLINK("https://docket.philalegal.org/cgi-bin/proxy.pl?ct=200700846","200700846")</f>
        <v>200700846</v>
      </c>
      <c r="C601" s="3" t="s">
        <v>3250</v>
      </c>
      <c r="D601" s="3" t="s">
        <v>18</v>
      </c>
      <c r="E601" s="3" t="s">
        <v>3251</v>
      </c>
      <c r="F601" s="3" t="s">
        <v>320</v>
      </c>
      <c r="G601" s="3" t="s">
        <v>3816</v>
      </c>
      <c r="H601" s="3" t="s">
        <v>3252</v>
      </c>
      <c r="I601" s="3" t="s">
        <v>3253</v>
      </c>
      <c r="J601" s="3" t="s">
        <v>3254</v>
      </c>
      <c r="K601" s="3">
        <v>292090000</v>
      </c>
      <c r="L601" s="3" t="s">
        <v>3255</v>
      </c>
    </row>
    <row r="602" spans="1:12" x14ac:dyDescent="0.2">
      <c r="A602" s="1" t="s">
        <v>3256</v>
      </c>
      <c r="B602" s="2" t="str">
        <f>HYPERLINK("https://docket.philalegal.org/cgi-bin/proxy.pl?ct=220900314","220900314")</f>
        <v>220900314</v>
      </c>
      <c r="C602" s="3" t="s">
        <v>185</v>
      </c>
      <c r="D602" s="3" t="s">
        <v>186</v>
      </c>
      <c r="E602" s="3" t="s">
        <v>187</v>
      </c>
      <c r="F602" s="3" t="s">
        <v>188</v>
      </c>
      <c r="G602" s="3" t="s">
        <v>3815</v>
      </c>
      <c r="H602" s="3" t="s">
        <v>3257</v>
      </c>
      <c r="I602" s="3" t="s">
        <v>3258</v>
      </c>
      <c r="J602" s="3" t="s">
        <v>3259</v>
      </c>
      <c r="K602" s="3" t="s">
        <v>3260</v>
      </c>
      <c r="L602" s="3" t="s">
        <v>3261</v>
      </c>
    </row>
    <row r="603" spans="1:12" x14ac:dyDescent="0.2">
      <c r="A603" s="1" t="s">
        <v>3262</v>
      </c>
      <c r="B603" s="2" t="str">
        <f>HYPERLINK("https://docket.philalegal.org/cgi-bin/proxy.pl?ct=170901352","170901352")</f>
        <v>170901352</v>
      </c>
      <c r="C603" s="3" t="s">
        <v>3263</v>
      </c>
      <c r="D603" s="3" t="s">
        <v>13</v>
      </c>
      <c r="E603" s="3" t="s">
        <v>3264</v>
      </c>
      <c r="F603" s="3" t="s">
        <v>395</v>
      </c>
      <c r="G603" s="3"/>
      <c r="H603" s="3" t="s">
        <v>3265</v>
      </c>
      <c r="I603" s="3" t="s">
        <v>3266</v>
      </c>
      <c r="J603" s="3" t="s">
        <v>3267</v>
      </c>
      <c r="K603" s="3">
        <v>776064000</v>
      </c>
      <c r="L603" s="3" t="s">
        <v>3268</v>
      </c>
    </row>
    <row r="604" spans="1:12" x14ac:dyDescent="0.2">
      <c r="A604" s="1" t="s">
        <v>3269</v>
      </c>
      <c r="B604" s="2" t="str">
        <f>HYPERLINK("https://docket.philalegal.org/cgi-bin/proxy.pl?ct=190700259","190700259")</f>
        <v>190700259</v>
      </c>
      <c r="C604" s="3" t="s">
        <v>704</v>
      </c>
      <c r="D604" s="3" t="s">
        <v>18</v>
      </c>
      <c r="E604" s="3" t="s">
        <v>187</v>
      </c>
      <c r="F604" s="3" t="s">
        <v>20</v>
      </c>
      <c r="G604" s="3" t="s">
        <v>705</v>
      </c>
      <c r="H604" s="3" t="s">
        <v>705</v>
      </c>
      <c r="I604" s="3"/>
      <c r="J604" s="3" t="s">
        <v>3270</v>
      </c>
      <c r="K604" s="3">
        <v>323193800</v>
      </c>
      <c r="L604" s="3" t="s">
        <v>3271</v>
      </c>
    </row>
    <row r="605" spans="1:12" x14ac:dyDescent="0.2">
      <c r="A605" s="1" t="s">
        <v>3272</v>
      </c>
      <c r="B605" s="2" t="str">
        <f>HYPERLINK("https://docket.philalegal.org/cgi-bin/proxy.pl?ct=160302293","160302293")</f>
        <v>160302293</v>
      </c>
      <c r="C605" s="3" t="s">
        <v>3273</v>
      </c>
      <c r="D605" s="3" t="s">
        <v>152</v>
      </c>
      <c r="E605" s="3" t="s">
        <v>153</v>
      </c>
      <c r="F605" s="3" t="s">
        <v>14</v>
      </c>
      <c r="G605" s="3" t="s">
        <v>3274</v>
      </c>
      <c r="H605" s="3" t="s">
        <v>3274</v>
      </c>
      <c r="I605" s="3"/>
      <c r="J605" s="3" t="s">
        <v>3275</v>
      </c>
      <c r="K605" s="3">
        <v>871549490</v>
      </c>
      <c r="L605" s="3" t="s">
        <v>156</v>
      </c>
    </row>
    <row r="606" spans="1:12" x14ac:dyDescent="0.2">
      <c r="A606" s="1" t="s">
        <v>3276</v>
      </c>
      <c r="B606" s="2" t="str">
        <f>HYPERLINK("https://docket.philalegal.org/cgi-bin/proxy.pl?ct=180104970","180104970")</f>
        <v>180104970</v>
      </c>
      <c r="C606" s="3" t="s">
        <v>3277</v>
      </c>
      <c r="D606" s="3" t="s">
        <v>13</v>
      </c>
      <c r="E606" s="3" t="s">
        <v>2216</v>
      </c>
      <c r="F606" s="3" t="s">
        <v>173</v>
      </c>
      <c r="G606" s="3" t="s">
        <v>3734</v>
      </c>
      <c r="H606" s="3" t="s">
        <v>2315</v>
      </c>
      <c r="I606" s="3" t="s">
        <v>3278</v>
      </c>
      <c r="J606" s="3" t="s">
        <v>3279</v>
      </c>
      <c r="K606" s="3">
        <v>871514390</v>
      </c>
      <c r="L606" s="3" t="s">
        <v>3280</v>
      </c>
    </row>
    <row r="607" spans="1:12" x14ac:dyDescent="0.2">
      <c r="A607" s="1" t="s">
        <v>3281</v>
      </c>
      <c r="B607" s="2" t="str">
        <f>HYPERLINK("https://docket.philalegal.org/cgi-bin/proxy.pl?ct=230600946","230600946")</f>
        <v>230600946</v>
      </c>
      <c r="C607" s="3" t="s">
        <v>3282</v>
      </c>
      <c r="D607" s="3" t="s">
        <v>208</v>
      </c>
      <c r="E607" s="3" t="s">
        <v>35</v>
      </c>
      <c r="F607" s="3" t="s">
        <v>44</v>
      </c>
      <c r="G607" s="3"/>
      <c r="H607" s="3" t="s">
        <v>3283</v>
      </c>
      <c r="I607" s="3"/>
      <c r="J607" s="3" t="s">
        <v>3284</v>
      </c>
      <c r="K607" s="3">
        <v>871534190</v>
      </c>
      <c r="L607" s="3" t="s">
        <v>3285</v>
      </c>
    </row>
    <row r="608" spans="1:12" x14ac:dyDescent="0.2">
      <c r="A608" s="1" t="s">
        <v>3286</v>
      </c>
      <c r="B608" s="2" t="str">
        <f>HYPERLINK("https://docket.philalegal.org/cgi-bin/proxy.pl?ct=190900644","190900644")</f>
        <v>190900644</v>
      </c>
      <c r="C608" s="3" t="s">
        <v>185</v>
      </c>
      <c r="D608" s="3" t="s">
        <v>18</v>
      </c>
      <c r="E608" s="3" t="s">
        <v>187</v>
      </c>
      <c r="F608" s="3" t="s">
        <v>3287</v>
      </c>
      <c r="G608" s="3"/>
      <c r="H608" s="3" t="s">
        <v>3288</v>
      </c>
      <c r="I608" s="3" t="s">
        <v>1599</v>
      </c>
      <c r="J608" s="3" t="s">
        <v>3289</v>
      </c>
      <c r="K608" s="3">
        <v>871130750</v>
      </c>
      <c r="L608" s="3" t="s">
        <v>61</v>
      </c>
    </row>
    <row r="609" spans="1:12" x14ac:dyDescent="0.2">
      <c r="A609" s="1" t="s">
        <v>3290</v>
      </c>
      <c r="B609" s="2" t="str">
        <f>HYPERLINK("https://docket.philalegal.org/cgi-bin/proxy.pl?ct=140201134","140201134")</f>
        <v>140201134</v>
      </c>
      <c r="C609" s="3" t="s">
        <v>3291</v>
      </c>
      <c r="D609" s="3" t="s">
        <v>13</v>
      </c>
      <c r="E609" s="3" t="s">
        <v>35</v>
      </c>
      <c r="F609" s="3" t="s">
        <v>36</v>
      </c>
      <c r="G609" s="3"/>
      <c r="H609" s="3" t="s">
        <v>3292</v>
      </c>
      <c r="I609" s="3" t="s">
        <v>3293</v>
      </c>
      <c r="J609" s="3" t="s">
        <v>3294</v>
      </c>
      <c r="K609" s="3">
        <v>312126100</v>
      </c>
      <c r="L609" s="3" t="s">
        <v>3295</v>
      </c>
    </row>
    <row r="610" spans="1:12" x14ac:dyDescent="0.2">
      <c r="A610" s="1" t="s">
        <v>3296</v>
      </c>
      <c r="B610" s="2" t="str">
        <f>HYPERLINK("https://docket.philalegal.org/cgi-bin/proxy.pl?ct=220303039","220303039")</f>
        <v>220303039</v>
      </c>
      <c r="C610" s="3" t="s">
        <v>3297</v>
      </c>
      <c r="D610" s="3" t="s">
        <v>18</v>
      </c>
      <c r="E610" s="3" t="s">
        <v>819</v>
      </c>
      <c r="F610" s="3" t="s">
        <v>461</v>
      </c>
      <c r="G610" s="3" t="s">
        <v>3814</v>
      </c>
      <c r="H610" s="3" t="s">
        <v>3298</v>
      </c>
      <c r="I610" s="3" t="s">
        <v>2502</v>
      </c>
      <c r="J610" s="3" t="s">
        <v>3299</v>
      </c>
      <c r="K610" s="3">
        <v>511094400</v>
      </c>
      <c r="L610" s="3" t="s">
        <v>823</v>
      </c>
    </row>
    <row r="611" spans="1:12" x14ac:dyDescent="0.2">
      <c r="A611" s="1" t="s">
        <v>3300</v>
      </c>
      <c r="B611" s="2" t="str">
        <f>HYPERLINK("https://docket.philalegal.org/cgi-bin/proxy.pl?ct=190403216","190403216")</f>
        <v>190403216</v>
      </c>
      <c r="C611" s="3" t="s">
        <v>3301</v>
      </c>
      <c r="D611" s="3" t="s">
        <v>18</v>
      </c>
      <c r="E611" s="3" t="s">
        <v>3302</v>
      </c>
      <c r="F611" s="3" t="s">
        <v>3303</v>
      </c>
      <c r="G611" s="3" t="s">
        <v>3813</v>
      </c>
      <c r="H611" s="3" t="s">
        <v>3304</v>
      </c>
      <c r="I611" s="3" t="s">
        <v>3305</v>
      </c>
      <c r="J611" s="3" t="s">
        <v>3306</v>
      </c>
      <c r="K611" s="3" t="s">
        <v>3307</v>
      </c>
      <c r="L611" s="3" t="s">
        <v>3308</v>
      </c>
    </row>
    <row r="612" spans="1:12" x14ac:dyDescent="0.2">
      <c r="A612" s="1" t="s">
        <v>3309</v>
      </c>
      <c r="B612" s="2" t="str">
        <f>HYPERLINK("https://docket.philalegal.org/cgi-bin/proxy.pl?ct=220202778","220202778")</f>
        <v>220202778</v>
      </c>
      <c r="C612" s="3" t="s">
        <v>3310</v>
      </c>
      <c r="D612" s="3" t="s">
        <v>18</v>
      </c>
      <c r="E612" s="3" t="s">
        <v>194</v>
      </c>
      <c r="F612" s="3" t="s">
        <v>1321</v>
      </c>
      <c r="G612" s="3" t="s">
        <v>3311</v>
      </c>
      <c r="H612" s="3" t="s">
        <v>3311</v>
      </c>
      <c r="I612" s="3" t="s">
        <v>1725</v>
      </c>
      <c r="J612" s="3" t="s">
        <v>3312</v>
      </c>
      <c r="K612" s="3">
        <v>365402700</v>
      </c>
      <c r="L612" s="3" t="s">
        <v>3313</v>
      </c>
    </row>
    <row r="613" spans="1:12" x14ac:dyDescent="0.2">
      <c r="A613" s="1" t="s">
        <v>3314</v>
      </c>
      <c r="B613" s="2" t="str">
        <f>HYPERLINK("https://docket.philalegal.org/cgi-bin/proxy.pl?ct=191103253","191103253")</f>
        <v>191103253</v>
      </c>
      <c r="C613" s="3" t="s">
        <v>185</v>
      </c>
      <c r="D613" s="3" t="s">
        <v>18</v>
      </c>
      <c r="E613" s="3" t="s">
        <v>187</v>
      </c>
      <c r="F613" s="3" t="s">
        <v>210</v>
      </c>
      <c r="G613" s="3" t="s">
        <v>3812</v>
      </c>
      <c r="H613" s="3" t="s">
        <v>3315</v>
      </c>
      <c r="I613" s="3"/>
      <c r="J613" s="3" t="s">
        <v>3316</v>
      </c>
      <c r="K613" s="3">
        <v>362028500</v>
      </c>
      <c r="L613" s="3" t="s">
        <v>267</v>
      </c>
    </row>
    <row r="614" spans="1:12" x14ac:dyDescent="0.2">
      <c r="A614" s="1" t="s">
        <v>3317</v>
      </c>
      <c r="B614" s="2" t="str">
        <f>HYPERLINK("https://docket.philalegal.org/cgi-bin/proxy.pl?ct=150602524","150602524")</f>
        <v>150602524</v>
      </c>
      <c r="C614" s="3" t="s">
        <v>3318</v>
      </c>
      <c r="D614" s="3" t="s">
        <v>18</v>
      </c>
      <c r="E614" s="3" t="s">
        <v>35</v>
      </c>
      <c r="F614" s="3" t="s">
        <v>36</v>
      </c>
      <c r="G614" s="3" t="s">
        <v>3319</v>
      </c>
      <c r="H614" s="3" t="s">
        <v>3902</v>
      </c>
      <c r="I614" s="3"/>
      <c r="J614" s="3" t="s">
        <v>3320</v>
      </c>
      <c r="K614" s="3" t="s">
        <v>3321</v>
      </c>
      <c r="L614" s="3" t="s">
        <v>1738</v>
      </c>
    </row>
    <row r="615" spans="1:12" x14ac:dyDescent="0.2">
      <c r="A615" s="1" t="s">
        <v>3322</v>
      </c>
      <c r="B615" s="2" t="str">
        <f>HYPERLINK("https://docket.philalegal.org/cgi-bin/proxy.pl?ct=220801962","220801962")</f>
        <v>220801962</v>
      </c>
      <c r="C615" s="3" t="s">
        <v>185</v>
      </c>
      <c r="D615" s="3" t="s">
        <v>18</v>
      </c>
      <c r="E615" s="3" t="s">
        <v>187</v>
      </c>
      <c r="F615" s="3" t="s">
        <v>188</v>
      </c>
      <c r="G615" s="3"/>
      <c r="H615" s="3" t="s">
        <v>3323</v>
      </c>
      <c r="I615" s="3" t="s">
        <v>3324</v>
      </c>
      <c r="J615" s="3" t="s">
        <v>3325</v>
      </c>
      <c r="K615" s="3">
        <v>202137000</v>
      </c>
      <c r="L615" s="3" t="s">
        <v>3326</v>
      </c>
    </row>
    <row r="616" spans="1:12" x14ac:dyDescent="0.2">
      <c r="A616" s="1" t="s">
        <v>3327</v>
      </c>
      <c r="B616" s="2" t="str">
        <f>HYPERLINK("https://docket.philalegal.org/cgi-bin/proxy.pl?ct=231201205","231201205")</f>
        <v>231201205</v>
      </c>
      <c r="C616" s="3" t="s">
        <v>3328</v>
      </c>
      <c r="D616" s="3" t="s">
        <v>208</v>
      </c>
      <c r="E616" s="3" t="s">
        <v>252</v>
      </c>
      <c r="F616" s="3" t="s">
        <v>36</v>
      </c>
      <c r="G616" s="3" t="s">
        <v>3811</v>
      </c>
      <c r="H616" s="3" t="s">
        <v>3329</v>
      </c>
      <c r="I616" s="3"/>
      <c r="J616" s="3" t="s">
        <v>3330</v>
      </c>
      <c r="K616" s="3">
        <v>243153800</v>
      </c>
      <c r="L616" s="3" t="s">
        <v>3331</v>
      </c>
    </row>
    <row r="617" spans="1:12" x14ac:dyDescent="0.2">
      <c r="A617" s="1" t="s">
        <v>3332</v>
      </c>
      <c r="B617" s="2" t="str">
        <f>HYPERLINK("https://docket.philalegal.org/cgi-bin/proxy.pl?ct=131200547","131200547")</f>
        <v>131200547</v>
      </c>
      <c r="C617" s="3" t="s">
        <v>3333</v>
      </c>
      <c r="D617" s="3" t="s">
        <v>64</v>
      </c>
      <c r="E617" s="3" t="s">
        <v>1051</v>
      </c>
      <c r="F617" s="3" t="s">
        <v>732</v>
      </c>
      <c r="G617" s="3" t="s">
        <v>3810</v>
      </c>
      <c r="H617" s="3" t="s">
        <v>3334</v>
      </c>
      <c r="I617" s="3" t="s">
        <v>3335</v>
      </c>
      <c r="J617" s="3" t="s">
        <v>2102</v>
      </c>
      <c r="K617" s="3" t="s">
        <v>3336</v>
      </c>
      <c r="L617" s="3" t="s">
        <v>3337</v>
      </c>
    </row>
    <row r="618" spans="1:12" x14ac:dyDescent="0.2">
      <c r="A618" s="1" t="s">
        <v>3338</v>
      </c>
      <c r="B618" s="2" t="str">
        <f>HYPERLINK("https://docket.philalegal.org/cgi-bin/proxy.pl?ct=171101276","171101276")</f>
        <v>171101276</v>
      </c>
      <c r="C618" s="3" t="s">
        <v>293</v>
      </c>
      <c r="D618" s="3" t="s">
        <v>18</v>
      </c>
      <c r="E618" s="3" t="s">
        <v>187</v>
      </c>
      <c r="F618" s="3" t="s">
        <v>210</v>
      </c>
      <c r="G618" s="3"/>
      <c r="H618" s="3" t="s">
        <v>3339</v>
      </c>
      <c r="I618" s="3" t="s">
        <v>3340</v>
      </c>
      <c r="J618" s="3" t="s">
        <v>1621</v>
      </c>
      <c r="K618" s="3">
        <v>364015100</v>
      </c>
      <c r="L618" s="3" t="s">
        <v>267</v>
      </c>
    </row>
    <row r="619" spans="1:12" x14ac:dyDescent="0.2">
      <c r="A619" s="1" t="s">
        <v>3341</v>
      </c>
      <c r="B619" s="2" t="str">
        <f>HYPERLINK("https://docket.philalegal.org/cgi-bin/proxy.pl?ct=210800619","210800619")</f>
        <v>210800619</v>
      </c>
      <c r="C619" s="3" t="s">
        <v>3342</v>
      </c>
      <c r="D619" s="3" t="s">
        <v>13</v>
      </c>
      <c r="E619" s="3" t="s">
        <v>319</v>
      </c>
      <c r="F619" s="3" t="s">
        <v>461</v>
      </c>
      <c r="G619" s="3"/>
      <c r="H619" s="3" t="s">
        <v>3343</v>
      </c>
      <c r="I619" s="3" t="s">
        <v>1267</v>
      </c>
      <c r="J619" s="3" t="s">
        <v>3344</v>
      </c>
      <c r="K619" s="3">
        <v>462047500</v>
      </c>
      <c r="L619" s="3" t="s">
        <v>3345</v>
      </c>
    </row>
    <row r="620" spans="1:12" x14ac:dyDescent="0.2">
      <c r="A620" s="1" t="s">
        <v>3346</v>
      </c>
      <c r="B620" s="2" t="str">
        <f>HYPERLINK("https://docket.philalegal.org/cgi-bin/proxy.pl?ct=201200662","201200662")</f>
        <v>201200662</v>
      </c>
      <c r="C620" s="3" t="s">
        <v>3347</v>
      </c>
      <c r="D620" s="3" t="s">
        <v>208</v>
      </c>
      <c r="E620" s="3" t="s">
        <v>35</v>
      </c>
      <c r="F620" s="3" t="s">
        <v>3348</v>
      </c>
      <c r="G620" s="3" t="s">
        <v>3809</v>
      </c>
      <c r="H620" s="3" t="s">
        <v>3349</v>
      </c>
      <c r="I620" s="3" t="s">
        <v>3350</v>
      </c>
      <c r="J620" s="3" t="s">
        <v>3351</v>
      </c>
      <c r="K620" s="3">
        <v>383071700</v>
      </c>
      <c r="L620" s="3" t="s">
        <v>208</v>
      </c>
    </row>
    <row r="621" spans="1:12" x14ac:dyDescent="0.2">
      <c r="A621" s="1" t="s">
        <v>3352</v>
      </c>
      <c r="B621" s="2" t="str">
        <f>HYPERLINK("https://docket.philalegal.org/cgi-bin/proxy.pl?ct=190301874","190301874")</f>
        <v>190301874</v>
      </c>
      <c r="C621" s="3" t="s">
        <v>185</v>
      </c>
      <c r="D621" s="3" t="s">
        <v>13</v>
      </c>
      <c r="E621" s="3" t="s">
        <v>187</v>
      </c>
      <c r="F621" s="3" t="s">
        <v>210</v>
      </c>
      <c r="G621" s="3" t="s">
        <v>3353</v>
      </c>
      <c r="H621" s="3" t="s">
        <v>3353</v>
      </c>
      <c r="I621" s="3"/>
      <c r="J621" s="3" t="s">
        <v>3354</v>
      </c>
      <c r="K621" s="3">
        <v>183093500</v>
      </c>
      <c r="L621" s="3" t="s">
        <v>3355</v>
      </c>
    </row>
    <row r="622" spans="1:12" x14ac:dyDescent="0.2">
      <c r="A622" s="1" t="s">
        <v>3356</v>
      </c>
      <c r="B622" s="2" t="str">
        <f>HYPERLINK("https://docket.philalegal.org/cgi-bin/proxy.pl?ct=230201175","230201175")</f>
        <v>230201175</v>
      </c>
      <c r="C622" s="3" t="s">
        <v>3357</v>
      </c>
      <c r="D622" s="3" t="s">
        <v>88</v>
      </c>
      <c r="E622" s="3" t="s">
        <v>35</v>
      </c>
      <c r="F622" s="3" t="s">
        <v>998</v>
      </c>
      <c r="G622" s="3"/>
      <c r="H622" s="3" t="s">
        <v>3358</v>
      </c>
      <c r="I622" s="3"/>
      <c r="J622" s="3" t="s">
        <v>2958</v>
      </c>
      <c r="K622" s="3">
        <v>181462230</v>
      </c>
      <c r="L622" s="3" t="s">
        <v>3359</v>
      </c>
    </row>
    <row r="623" spans="1:12" x14ac:dyDescent="0.2">
      <c r="A623" s="1" t="s">
        <v>3360</v>
      </c>
      <c r="B623" s="2" t="str">
        <f>HYPERLINK("https://docket.philalegal.org/cgi-bin/proxy.pl?ct=190404494","190404494")</f>
        <v>190404494</v>
      </c>
      <c r="C623" s="3" t="s">
        <v>3361</v>
      </c>
      <c r="D623" s="3" t="s">
        <v>332</v>
      </c>
      <c r="E623" s="3" t="s">
        <v>3362</v>
      </c>
      <c r="F623" s="3" t="s">
        <v>3363</v>
      </c>
      <c r="G623" s="3" t="s">
        <v>3364</v>
      </c>
      <c r="H623" s="3" t="s">
        <v>3364</v>
      </c>
      <c r="I623" s="3" t="s">
        <v>1655</v>
      </c>
      <c r="J623" s="3" t="s">
        <v>3365</v>
      </c>
      <c r="K623" s="3">
        <v>881707550</v>
      </c>
      <c r="L623" s="3" t="s">
        <v>3366</v>
      </c>
    </row>
    <row r="624" spans="1:12" x14ac:dyDescent="0.2">
      <c r="A624" s="1" t="s">
        <v>3367</v>
      </c>
      <c r="B624" s="2" t="str">
        <f>HYPERLINK("https://docket.philalegal.org/cgi-bin/proxy.pl?ct=170601920","170601920")</f>
        <v>170601920</v>
      </c>
      <c r="C624" s="3" t="s">
        <v>3368</v>
      </c>
      <c r="D624" s="3" t="s">
        <v>13</v>
      </c>
      <c r="E624" s="3" t="s">
        <v>2797</v>
      </c>
      <c r="F624" s="3" t="s">
        <v>395</v>
      </c>
      <c r="G624" s="3" t="s">
        <v>3808</v>
      </c>
      <c r="H624" s="3" t="s">
        <v>3369</v>
      </c>
      <c r="I624" s="3" t="s">
        <v>3370</v>
      </c>
      <c r="J624" s="3" t="s">
        <v>3371</v>
      </c>
      <c r="K624" s="3">
        <v>363083500</v>
      </c>
      <c r="L624" s="3" t="s">
        <v>3372</v>
      </c>
    </row>
    <row r="625" spans="1:12" x14ac:dyDescent="0.2">
      <c r="A625" s="1" t="s">
        <v>3373</v>
      </c>
      <c r="B625" s="2" t="str">
        <f>HYPERLINK("https://docket.philalegal.org/cgi-bin/proxy.pl?ct=130701293","130701293")</f>
        <v>130701293</v>
      </c>
      <c r="C625" s="3" t="s">
        <v>3374</v>
      </c>
      <c r="D625" s="3" t="s">
        <v>13</v>
      </c>
      <c r="E625" s="3" t="s">
        <v>35</v>
      </c>
      <c r="F625" s="3" t="s">
        <v>36</v>
      </c>
      <c r="G625" s="3" t="s">
        <v>3375</v>
      </c>
      <c r="H625" s="3" t="s">
        <v>3375</v>
      </c>
      <c r="I625" s="3" t="s">
        <v>282</v>
      </c>
      <c r="J625" s="3" t="s">
        <v>3376</v>
      </c>
      <c r="K625" s="3">
        <v>365114800</v>
      </c>
      <c r="L625" s="3" t="s">
        <v>3377</v>
      </c>
    </row>
    <row r="626" spans="1:12" x14ac:dyDescent="0.2">
      <c r="A626" s="1" t="s">
        <v>3378</v>
      </c>
      <c r="B626" s="2" t="str">
        <f>HYPERLINK("https://docket.philalegal.org/cgi-bin/proxy.pl?ct=210501901","210501901")</f>
        <v>210501901</v>
      </c>
      <c r="C626" s="3" t="s">
        <v>3379</v>
      </c>
      <c r="D626" s="3" t="s">
        <v>216</v>
      </c>
      <c r="E626" s="3" t="s">
        <v>595</v>
      </c>
      <c r="F626" s="3" t="s">
        <v>44</v>
      </c>
      <c r="G626" s="3"/>
      <c r="H626" s="3" t="s">
        <v>3380</v>
      </c>
      <c r="I626" s="3" t="s">
        <v>1372</v>
      </c>
      <c r="J626" s="3" t="s">
        <v>3381</v>
      </c>
      <c r="K626" s="3" t="s">
        <v>3382</v>
      </c>
      <c r="L626" s="3" t="s">
        <v>3383</v>
      </c>
    </row>
    <row r="627" spans="1:12" x14ac:dyDescent="0.2">
      <c r="A627" s="1" t="s">
        <v>3384</v>
      </c>
      <c r="B627" s="2" t="str">
        <f>HYPERLINK("https://docket.philalegal.org/cgi-bin/proxy.pl?ct=191201076","191201076")</f>
        <v>191201076</v>
      </c>
      <c r="C627" s="3" t="s">
        <v>185</v>
      </c>
      <c r="D627" s="3" t="s">
        <v>13</v>
      </c>
      <c r="E627" s="3" t="s">
        <v>187</v>
      </c>
      <c r="F627" s="3" t="s">
        <v>933</v>
      </c>
      <c r="G627" s="3" t="s">
        <v>3807</v>
      </c>
      <c r="H627" s="3" t="s">
        <v>3385</v>
      </c>
      <c r="I627" s="3" t="s">
        <v>3386</v>
      </c>
      <c r="J627" s="3" t="s">
        <v>3387</v>
      </c>
      <c r="K627" s="3">
        <v>291236100</v>
      </c>
      <c r="L627" s="3" t="s">
        <v>3388</v>
      </c>
    </row>
    <row r="628" spans="1:12" x14ac:dyDescent="0.2">
      <c r="A628" s="1" t="s">
        <v>3389</v>
      </c>
      <c r="B628" s="2" t="str">
        <f>HYPERLINK("https://docket.philalegal.org/cgi-bin/proxy.pl?ct=220101571","220101571")</f>
        <v>220101571</v>
      </c>
      <c r="C628" s="3" t="s">
        <v>3390</v>
      </c>
      <c r="D628" s="3" t="s">
        <v>216</v>
      </c>
      <c r="E628" s="3" t="s">
        <v>35</v>
      </c>
      <c r="F628" s="3" t="s">
        <v>36</v>
      </c>
      <c r="G628" s="3" t="s">
        <v>3806</v>
      </c>
      <c r="H628" s="3" t="s">
        <v>3391</v>
      </c>
      <c r="I628" s="3"/>
      <c r="J628" s="3" t="s">
        <v>3392</v>
      </c>
      <c r="K628" s="3">
        <v>611184900</v>
      </c>
      <c r="L628" s="3" t="s">
        <v>3393</v>
      </c>
    </row>
    <row r="629" spans="1:12" x14ac:dyDescent="0.2">
      <c r="A629" s="1" t="s">
        <v>3394</v>
      </c>
      <c r="B629" s="2" t="str">
        <f>HYPERLINK("https://docket.philalegal.org/cgi-bin/proxy.pl?ct=230302666","230302666")</f>
        <v>230302666</v>
      </c>
      <c r="C629" s="3" t="s">
        <v>3395</v>
      </c>
      <c r="D629" s="3" t="s">
        <v>18</v>
      </c>
      <c r="E629" s="3" t="s">
        <v>35</v>
      </c>
      <c r="F629" s="3" t="s">
        <v>36</v>
      </c>
      <c r="G629" s="3" t="s">
        <v>3805</v>
      </c>
      <c r="H629" s="3" t="s">
        <v>3396</v>
      </c>
      <c r="I629" s="3"/>
      <c r="J629" s="3" t="s">
        <v>3397</v>
      </c>
      <c r="K629" s="3">
        <v>241165800</v>
      </c>
      <c r="L629" s="3" t="s">
        <v>183</v>
      </c>
    </row>
    <row r="630" spans="1:12" x14ac:dyDescent="0.2">
      <c r="A630" s="1" t="s">
        <v>3398</v>
      </c>
      <c r="B630" s="2" t="str">
        <f>HYPERLINK("https://docket.philalegal.org/cgi-bin/proxy.pl?ct=180601603","180601603")</f>
        <v>180601603</v>
      </c>
      <c r="C630" s="3" t="s">
        <v>704</v>
      </c>
      <c r="D630" s="3" t="s">
        <v>13</v>
      </c>
      <c r="E630" s="3" t="s">
        <v>187</v>
      </c>
      <c r="F630" s="3" t="s">
        <v>271</v>
      </c>
      <c r="G630" s="3" t="s">
        <v>3804</v>
      </c>
      <c r="H630" s="3" t="s">
        <v>3399</v>
      </c>
      <c r="I630" s="3"/>
      <c r="J630" s="3" t="s">
        <v>3400</v>
      </c>
      <c r="K630" s="3">
        <v>291047800</v>
      </c>
      <c r="L630" s="3" t="s">
        <v>3401</v>
      </c>
    </row>
    <row r="631" spans="1:12" x14ac:dyDescent="0.2">
      <c r="A631" s="1" t="s">
        <v>3402</v>
      </c>
      <c r="B631" s="2" t="str">
        <f>HYPERLINK("https://docket.philalegal.org/cgi-bin/proxy.pl?ct=220200102","220200102")</f>
        <v>220200102</v>
      </c>
      <c r="C631" s="3" t="s">
        <v>185</v>
      </c>
      <c r="D631" s="3" t="s">
        <v>13</v>
      </c>
      <c r="E631" s="3" t="s">
        <v>187</v>
      </c>
      <c r="F631" s="3" t="s">
        <v>1321</v>
      </c>
      <c r="G631" s="3" t="s">
        <v>3803</v>
      </c>
      <c r="H631" s="3" t="s">
        <v>3403</v>
      </c>
      <c r="I631" s="3"/>
      <c r="J631" s="3" t="s">
        <v>3404</v>
      </c>
      <c r="K631" s="3">
        <v>202171800</v>
      </c>
      <c r="L631" s="3" t="s">
        <v>931</v>
      </c>
    </row>
    <row r="632" spans="1:12" x14ac:dyDescent="0.2">
      <c r="A632" s="1" t="s">
        <v>3405</v>
      </c>
      <c r="B632" s="2" t="str">
        <f>HYPERLINK("https://docket.philalegal.org/cgi-bin/proxy.pl?ct=141100576","141100576")</f>
        <v>141100576</v>
      </c>
      <c r="C632" s="3" t="s">
        <v>3406</v>
      </c>
      <c r="D632" s="3" t="s">
        <v>13</v>
      </c>
      <c r="E632" s="3" t="s">
        <v>3407</v>
      </c>
      <c r="F632" s="3" t="s">
        <v>160</v>
      </c>
      <c r="G632" s="3" t="s">
        <v>161</v>
      </c>
      <c r="H632" s="3" t="s">
        <v>161</v>
      </c>
      <c r="I632" s="3"/>
      <c r="J632" s="3" t="s">
        <v>3408</v>
      </c>
      <c r="K632" s="3">
        <v>102437100</v>
      </c>
      <c r="L632" s="3" t="s">
        <v>3409</v>
      </c>
    </row>
    <row r="633" spans="1:12" x14ac:dyDescent="0.2">
      <c r="A633" s="1" t="s">
        <v>3410</v>
      </c>
      <c r="B633" s="2" t="str">
        <f>HYPERLINK("https://docket.philalegal.org/cgi-bin/proxy.pl?ct=140602172","140602172")</f>
        <v>140602172</v>
      </c>
      <c r="C633" s="3" t="s">
        <v>3039</v>
      </c>
      <c r="D633" s="3" t="s">
        <v>18</v>
      </c>
      <c r="E633" s="3" t="s">
        <v>2216</v>
      </c>
      <c r="F633" s="3" t="s">
        <v>36</v>
      </c>
      <c r="G633" s="3" t="s">
        <v>3799</v>
      </c>
      <c r="H633" s="3" t="s">
        <v>3040</v>
      </c>
      <c r="I633" s="3" t="s">
        <v>3411</v>
      </c>
      <c r="J633" s="3" t="s">
        <v>3412</v>
      </c>
      <c r="K633" s="3">
        <v>871520840</v>
      </c>
      <c r="L633" s="3" t="s">
        <v>3042</v>
      </c>
    </row>
    <row r="634" spans="1:12" x14ac:dyDescent="0.2">
      <c r="A634" s="1" t="s">
        <v>3413</v>
      </c>
      <c r="B634" s="2" t="str">
        <f>HYPERLINK("https://docket.philalegal.org/cgi-bin/proxy.pl?ct=180600641","180600641")</f>
        <v>180600641</v>
      </c>
      <c r="C634" s="3" t="s">
        <v>1560</v>
      </c>
      <c r="D634" s="3" t="s">
        <v>88</v>
      </c>
      <c r="E634" s="3" t="s">
        <v>230</v>
      </c>
      <c r="F634" s="3" t="s">
        <v>173</v>
      </c>
      <c r="G634" s="3" t="s">
        <v>3802</v>
      </c>
      <c r="H634" s="3" t="s">
        <v>3414</v>
      </c>
      <c r="I634" s="3"/>
      <c r="J634" s="3" t="s">
        <v>2712</v>
      </c>
      <c r="K634" s="3">
        <v>364002900</v>
      </c>
      <c r="L634" s="3" t="s">
        <v>3415</v>
      </c>
    </row>
    <row r="635" spans="1:12" x14ac:dyDescent="0.2">
      <c r="A635" s="1" t="s">
        <v>3416</v>
      </c>
      <c r="B635" s="2" t="str">
        <f>HYPERLINK("https://docket.philalegal.org/cgi-bin/proxy.pl?ct=160400998","160400998")</f>
        <v>160400998</v>
      </c>
      <c r="C635" s="3" t="s">
        <v>3417</v>
      </c>
      <c r="D635" s="3" t="s">
        <v>18</v>
      </c>
      <c r="E635" s="3" t="s">
        <v>35</v>
      </c>
      <c r="F635" s="3" t="s">
        <v>173</v>
      </c>
      <c r="G635" s="3" t="s">
        <v>3801</v>
      </c>
      <c r="H635" s="3" t="s">
        <v>3418</v>
      </c>
      <c r="I635" s="3" t="s">
        <v>3419</v>
      </c>
      <c r="J635" s="3" t="s">
        <v>3420</v>
      </c>
      <c r="K635" s="3">
        <v>651277600</v>
      </c>
      <c r="L635" s="3" t="s">
        <v>3421</v>
      </c>
    </row>
    <row r="636" spans="1:12" x14ac:dyDescent="0.2">
      <c r="A636" s="1" t="s">
        <v>3422</v>
      </c>
      <c r="B636" s="2" t="str">
        <f>HYPERLINK("https://docket.philalegal.org/cgi-bin/proxy.pl?ct=180402096","180402096")</f>
        <v>180402096</v>
      </c>
      <c r="C636" s="3" t="s">
        <v>704</v>
      </c>
      <c r="D636" s="3" t="s">
        <v>18</v>
      </c>
      <c r="E636" s="3" t="s">
        <v>187</v>
      </c>
      <c r="F636" s="3" t="s">
        <v>271</v>
      </c>
      <c r="G636" s="3" t="s">
        <v>3800</v>
      </c>
      <c r="H636" s="3" t="s">
        <v>3423</v>
      </c>
      <c r="I636" s="3"/>
      <c r="J636" s="3" t="s">
        <v>3424</v>
      </c>
      <c r="K636" s="3">
        <v>291066800</v>
      </c>
      <c r="L636" s="3" t="s">
        <v>267</v>
      </c>
    </row>
    <row r="637" spans="1:12" x14ac:dyDescent="0.2">
      <c r="A637" s="1" t="s">
        <v>3425</v>
      </c>
      <c r="B637" s="2" t="str">
        <f>HYPERLINK("https://docket.philalegal.org/cgi-bin/proxy.pl?ct=180303376","180303376")</f>
        <v>180303376</v>
      </c>
      <c r="C637" s="3" t="s">
        <v>3426</v>
      </c>
      <c r="D637" s="3" t="s">
        <v>13</v>
      </c>
      <c r="E637" s="3" t="s">
        <v>319</v>
      </c>
      <c r="F637" s="3" t="s">
        <v>405</v>
      </c>
      <c r="G637" s="3" t="s">
        <v>3799</v>
      </c>
      <c r="H637" s="3" t="s">
        <v>3040</v>
      </c>
      <c r="I637" s="3" t="s">
        <v>20</v>
      </c>
      <c r="J637" s="3" t="s">
        <v>3427</v>
      </c>
      <c r="K637" s="3">
        <v>292089200</v>
      </c>
      <c r="L637" s="3" t="s">
        <v>931</v>
      </c>
    </row>
    <row r="638" spans="1:12" x14ac:dyDescent="0.2">
      <c r="A638" s="1" t="s">
        <v>3428</v>
      </c>
      <c r="B638" s="2" t="str">
        <f>HYPERLINK("https://docket.philalegal.org/cgi-bin/proxy.pl?ct=171203335","171203335")</f>
        <v>171203335</v>
      </c>
      <c r="C638" s="3" t="s">
        <v>185</v>
      </c>
      <c r="D638" s="3" t="s">
        <v>13</v>
      </c>
      <c r="E638" s="3" t="s">
        <v>187</v>
      </c>
      <c r="F638" s="3" t="s">
        <v>210</v>
      </c>
      <c r="G638" s="3" t="s">
        <v>3798</v>
      </c>
      <c r="H638" s="3" t="s">
        <v>3429</v>
      </c>
      <c r="I638" s="3" t="s">
        <v>3430</v>
      </c>
      <c r="J638" s="3" t="s">
        <v>3431</v>
      </c>
      <c r="K638" s="3" t="s">
        <v>3432</v>
      </c>
      <c r="L638" s="3" t="s">
        <v>3433</v>
      </c>
    </row>
    <row r="639" spans="1:12" x14ac:dyDescent="0.2">
      <c r="A639" s="1" t="s">
        <v>2982</v>
      </c>
      <c r="B639" s="2" t="str">
        <f>HYPERLINK("https://docket.philalegal.org/cgi-bin/proxy.pl?ct=170801535","170801535")</f>
        <v>170801535</v>
      </c>
      <c r="C639" s="3" t="s">
        <v>3434</v>
      </c>
      <c r="D639" s="3" t="s">
        <v>13</v>
      </c>
      <c r="E639" s="3" t="s">
        <v>35</v>
      </c>
      <c r="F639" s="3" t="s">
        <v>173</v>
      </c>
      <c r="G639" s="3" t="s">
        <v>3797</v>
      </c>
      <c r="H639" s="3" t="s">
        <v>3435</v>
      </c>
      <c r="I639" s="3"/>
      <c r="J639" s="3" t="s">
        <v>3436</v>
      </c>
      <c r="K639" s="3">
        <v>241155400</v>
      </c>
      <c r="L639" s="3" t="s">
        <v>3437</v>
      </c>
    </row>
    <row r="640" spans="1:12" x14ac:dyDescent="0.2">
      <c r="A640" s="1" t="s">
        <v>3438</v>
      </c>
      <c r="B640" s="2" t="str">
        <f>HYPERLINK("https://docket.philalegal.org/cgi-bin/proxy.pl?ct=120600896","120600896")</f>
        <v>120600896</v>
      </c>
      <c r="C640" s="3" t="s">
        <v>3439</v>
      </c>
      <c r="D640" s="3" t="s">
        <v>88</v>
      </c>
      <c r="E640" s="3" t="s">
        <v>26</v>
      </c>
      <c r="F640" s="3" t="s">
        <v>36</v>
      </c>
      <c r="G640" s="3" t="s">
        <v>3440</v>
      </c>
      <c r="H640" s="3" t="s">
        <v>3440</v>
      </c>
      <c r="I640" s="3" t="s">
        <v>1702</v>
      </c>
      <c r="J640" s="3" t="s">
        <v>3441</v>
      </c>
      <c r="K640" s="3">
        <v>363006300</v>
      </c>
      <c r="L640" s="3" t="s">
        <v>3442</v>
      </c>
    </row>
    <row r="641" spans="1:12" x14ac:dyDescent="0.2">
      <c r="A641" s="1" t="s">
        <v>3443</v>
      </c>
      <c r="B641" s="2" t="str">
        <f>HYPERLINK("https://docket.philalegal.org/cgi-bin/proxy.pl?ct=180302732","180302732")</f>
        <v>180302732</v>
      </c>
      <c r="C641" s="3" t="s">
        <v>3444</v>
      </c>
      <c r="D641" s="3" t="s">
        <v>332</v>
      </c>
      <c r="E641" s="3" t="s">
        <v>3445</v>
      </c>
      <c r="F641" s="3" t="s">
        <v>3446</v>
      </c>
      <c r="G641" s="3" t="s">
        <v>3796</v>
      </c>
      <c r="H641" s="3" t="s">
        <v>3447</v>
      </c>
      <c r="I641" s="3" t="s">
        <v>3448</v>
      </c>
      <c r="J641" s="3" t="s">
        <v>3449</v>
      </c>
      <c r="K641" s="3">
        <v>124073900</v>
      </c>
      <c r="L641" s="3" t="s">
        <v>3450</v>
      </c>
    </row>
    <row r="642" spans="1:12" x14ac:dyDescent="0.2">
      <c r="A642" s="1" t="s">
        <v>3451</v>
      </c>
      <c r="B642" s="2" t="str">
        <f>HYPERLINK("https://docket.philalegal.org/cgi-bin/proxy.pl?ct=170502232","170502232")</f>
        <v>170502232</v>
      </c>
      <c r="C642" s="3" t="s">
        <v>185</v>
      </c>
      <c r="D642" s="3" t="s">
        <v>18</v>
      </c>
      <c r="E642" s="3" t="s">
        <v>187</v>
      </c>
      <c r="F642" s="3" t="s">
        <v>354</v>
      </c>
      <c r="G642" s="3"/>
      <c r="H642" s="3" t="s">
        <v>3452</v>
      </c>
      <c r="I642" s="3"/>
      <c r="J642" s="3" t="s">
        <v>3453</v>
      </c>
      <c r="K642" s="3">
        <v>884460435</v>
      </c>
      <c r="L642" s="3" t="s">
        <v>3454</v>
      </c>
    </row>
    <row r="643" spans="1:12" x14ac:dyDescent="0.2">
      <c r="A643" s="1" t="s">
        <v>3455</v>
      </c>
      <c r="B643" s="2" t="str">
        <f>HYPERLINK("https://docket.philalegal.org/cgi-bin/proxy.pl?ct=171100278","171100278")</f>
        <v>171100278</v>
      </c>
      <c r="C643" s="3" t="s">
        <v>3456</v>
      </c>
      <c r="D643" s="3" t="s">
        <v>13</v>
      </c>
      <c r="E643" s="3" t="s">
        <v>1566</v>
      </c>
      <c r="F643" s="3" t="s">
        <v>395</v>
      </c>
      <c r="G643" s="3" t="s">
        <v>3795</v>
      </c>
      <c r="H643" s="3" t="s">
        <v>3457</v>
      </c>
      <c r="I643" s="3" t="s">
        <v>1947</v>
      </c>
      <c r="J643" s="3" t="s">
        <v>3458</v>
      </c>
      <c r="K643" s="3">
        <v>251345110</v>
      </c>
      <c r="L643" s="3" t="s">
        <v>3459</v>
      </c>
    </row>
    <row r="644" spans="1:12" x14ac:dyDescent="0.2">
      <c r="A644" s="1" t="s">
        <v>3460</v>
      </c>
      <c r="B644" s="2" t="str">
        <f>HYPERLINK("https://docket.philalegal.org/cgi-bin/proxy.pl?ct=220102238","220102238")</f>
        <v>220102238</v>
      </c>
      <c r="C644" s="3" t="s">
        <v>3461</v>
      </c>
      <c r="D644" s="3" t="s">
        <v>18</v>
      </c>
      <c r="E644" s="3" t="s">
        <v>270</v>
      </c>
      <c r="F644" s="3" t="s">
        <v>1321</v>
      </c>
      <c r="G644" s="3" t="s">
        <v>3462</v>
      </c>
      <c r="H644" s="3" t="s">
        <v>3462</v>
      </c>
      <c r="I644" s="3"/>
      <c r="J644" s="3" t="s">
        <v>3463</v>
      </c>
      <c r="K644" s="3">
        <v>453151800</v>
      </c>
      <c r="L644" s="3" t="s">
        <v>3464</v>
      </c>
    </row>
    <row r="645" spans="1:12" x14ac:dyDescent="0.2">
      <c r="A645" s="1" t="s">
        <v>3465</v>
      </c>
      <c r="B645" s="2" t="str">
        <f>HYPERLINK("https://docket.philalegal.org/cgi-bin/proxy.pl?ct=191001067","191001067")</f>
        <v>191001067</v>
      </c>
      <c r="C645" s="3" t="s">
        <v>185</v>
      </c>
      <c r="D645" s="3" t="s">
        <v>18</v>
      </c>
      <c r="E645" s="3" t="s">
        <v>187</v>
      </c>
      <c r="F645" s="3" t="s">
        <v>20</v>
      </c>
      <c r="G645" s="3"/>
      <c r="H645" s="3" t="s">
        <v>3466</v>
      </c>
      <c r="I645" s="3"/>
      <c r="J645" s="3" t="s">
        <v>3467</v>
      </c>
      <c r="K645" s="3">
        <v>361292000</v>
      </c>
      <c r="L645" s="3" t="s">
        <v>267</v>
      </c>
    </row>
    <row r="646" spans="1:12" x14ac:dyDescent="0.2">
      <c r="A646" s="1" t="s">
        <v>3468</v>
      </c>
      <c r="B646" s="2" t="str">
        <f>HYPERLINK("https://docket.philalegal.org/cgi-bin/proxy.pl?ct=120400616","120400616")</f>
        <v>120400616</v>
      </c>
      <c r="C646" s="3" t="s">
        <v>3469</v>
      </c>
      <c r="D646" s="3" t="s">
        <v>13</v>
      </c>
      <c r="E646" s="3" t="s">
        <v>65</v>
      </c>
      <c r="F646" s="3" t="s">
        <v>3470</v>
      </c>
      <c r="G646" s="3"/>
      <c r="H646" s="3" t="s">
        <v>3471</v>
      </c>
      <c r="I646" s="3" t="s">
        <v>68</v>
      </c>
      <c r="J646" s="3" t="s">
        <v>69</v>
      </c>
      <c r="K646" s="3">
        <v>593066200</v>
      </c>
      <c r="L646" s="3" t="s">
        <v>3472</v>
      </c>
    </row>
    <row r="647" spans="1:12" x14ac:dyDescent="0.2">
      <c r="A647" s="1" t="s">
        <v>3473</v>
      </c>
      <c r="B647" s="2" t="str">
        <f>HYPERLINK("https://docket.philalegal.org/cgi-bin/proxy.pl?ct=160300322","160300322")</f>
        <v>160300322</v>
      </c>
      <c r="C647" s="3" t="s">
        <v>3474</v>
      </c>
      <c r="D647" s="3" t="s">
        <v>13</v>
      </c>
      <c r="E647" s="3" t="s">
        <v>35</v>
      </c>
      <c r="F647" s="3" t="s">
        <v>395</v>
      </c>
      <c r="G647" s="3" t="s">
        <v>584</v>
      </c>
      <c r="H647" s="3" t="s">
        <v>584</v>
      </c>
      <c r="I647" s="3" t="s">
        <v>3475</v>
      </c>
      <c r="J647" s="3" t="s">
        <v>3476</v>
      </c>
      <c r="K647" s="3">
        <v>182301100</v>
      </c>
      <c r="L647" s="3" t="s">
        <v>3477</v>
      </c>
    </row>
    <row r="648" spans="1:12" x14ac:dyDescent="0.2">
      <c r="A648" s="1" t="s">
        <v>3478</v>
      </c>
      <c r="B648" s="2" t="str">
        <f>HYPERLINK("https://docket.philalegal.org/cgi-bin/proxy.pl?ct=230602342","230602342")</f>
        <v>230602342</v>
      </c>
      <c r="C648" s="3" t="s">
        <v>3479</v>
      </c>
      <c r="D648" s="3" t="s">
        <v>208</v>
      </c>
      <c r="E648" s="3" t="s">
        <v>194</v>
      </c>
      <c r="F648" s="3" t="s">
        <v>259</v>
      </c>
      <c r="G648" s="3" t="s">
        <v>3794</v>
      </c>
      <c r="H648" s="3" t="s">
        <v>3480</v>
      </c>
      <c r="I648" s="3"/>
      <c r="J648" s="3" t="s">
        <v>3481</v>
      </c>
      <c r="K648" s="3">
        <v>133033000</v>
      </c>
      <c r="L648" s="3" t="s">
        <v>3482</v>
      </c>
    </row>
    <row r="649" spans="1:12" x14ac:dyDescent="0.2">
      <c r="A649" s="1" t="s">
        <v>3483</v>
      </c>
      <c r="B649" s="2" t="str">
        <f>HYPERLINK("https://docket.philalegal.org/cgi-bin/proxy.pl?ct=231000847","231000847")</f>
        <v>231000847</v>
      </c>
      <c r="C649" s="3" t="s">
        <v>325</v>
      </c>
      <c r="D649" s="3" t="s">
        <v>216</v>
      </c>
      <c r="E649" s="3" t="s">
        <v>326</v>
      </c>
      <c r="F649" s="3" t="s">
        <v>1426</v>
      </c>
      <c r="G649" s="3"/>
      <c r="H649" s="3" t="s">
        <v>3484</v>
      </c>
      <c r="I649" s="3"/>
      <c r="J649" s="3" t="s">
        <v>3485</v>
      </c>
      <c r="K649" s="3" t="s">
        <v>3486</v>
      </c>
      <c r="L649" s="3" t="s">
        <v>3487</v>
      </c>
    </row>
    <row r="650" spans="1:12" x14ac:dyDescent="0.2">
      <c r="A650" s="1" t="s">
        <v>3488</v>
      </c>
      <c r="B650" s="2" t="str">
        <f>HYPERLINK("https://docket.philalegal.org/cgi-bin/proxy.pl?ct=170501794","170501794")</f>
        <v>170501794</v>
      </c>
      <c r="C650" s="3" t="s">
        <v>3489</v>
      </c>
      <c r="D650" s="3" t="s">
        <v>13</v>
      </c>
      <c r="E650" s="3" t="s">
        <v>807</v>
      </c>
      <c r="F650" s="3" t="s">
        <v>173</v>
      </c>
      <c r="G650" s="3" t="s">
        <v>3793</v>
      </c>
      <c r="H650" s="3" t="s">
        <v>510</v>
      </c>
      <c r="I650" s="3" t="s">
        <v>1655</v>
      </c>
      <c r="J650" s="3" t="s">
        <v>511</v>
      </c>
      <c r="K650" s="3" t="s">
        <v>512</v>
      </c>
      <c r="L650" s="3" t="s">
        <v>3490</v>
      </c>
    </row>
    <row r="651" spans="1:12" x14ac:dyDescent="0.2">
      <c r="A651" s="1" t="s">
        <v>3491</v>
      </c>
      <c r="B651" s="2" t="str">
        <f>HYPERLINK("https://docket.philalegal.org/cgi-bin/proxy.pl?ct=140703879","140703879")</f>
        <v>140703879</v>
      </c>
      <c r="C651" s="3" t="s">
        <v>3492</v>
      </c>
      <c r="D651" s="3" t="s">
        <v>13</v>
      </c>
      <c r="E651" s="3" t="s">
        <v>3493</v>
      </c>
      <c r="F651" s="3" t="s">
        <v>36</v>
      </c>
      <c r="G651" s="3" t="s">
        <v>3792</v>
      </c>
      <c r="H651" s="3" t="s">
        <v>3494</v>
      </c>
      <c r="I651" s="3" t="s">
        <v>1222</v>
      </c>
      <c r="J651" s="3" t="s">
        <v>1656</v>
      </c>
      <c r="K651" s="3">
        <v>152236300</v>
      </c>
      <c r="L651" s="3" t="s">
        <v>3495</v>
      </c>
    </row>
    <row r="652" spans="1:12" x14ac:dyDescent="0.2">
      <c r="A652" s="1" t="s">
        <v>3496</v>
      </c>
      <c r="B652" s="2" t="str">
        <f>HYPERLINK("https://docket.philalegal.org/cgi-bin/proxy.pl?ct=230602671","230602671")</f>
        <v>230602671</v>
      </c>
      <c r="C652" s="3" t="s">
        <v>185</v>
      </c>
      <c r="D652" s="3" t="s">
        <v>208</v>
      </c>
      <c r="E652" s="3" t="s">
        <v>187</v>
      </c>
      <c r="F652" s="3" t="s">
        <v>210</v>
      </c>
      <c r="G652" s="3" t="s">
        <v>3497</v>
      </c>
      <c r="H652" s="3" t="s">
        <v>3497</v>
      </c>
      <c r="I652" s="3"/>
      <c r="J652" s="3" t="s">
        <v>3498</v>
      </c>
      <c r="K652" s="3">
        <v>365345600</v>
      </c>
      <c r="L652" s="3" t="s">
        <v>3499</v>
      </c>
    </row>
    <row r="653" spans="1:12" x14ac:dyDescent="0.2">
      <c r="A653" s="1" t="s">
        <v>3500</v>
      </c>
      <c r="B653" s="2" t="str">
        <f>HYPERLINK("https://docket.philalegal.org/cgi-bin/proxy.pl?ct=150100824","150100824")</f>
        <v>150100824</v>
      </c>
      <c r="C653" s="3" t="s">
        <v>3501</v>
      </c>
      <c r="D653" s="3" t="s">
        <v>13</v>
      </c>
      <c r="E653" s="3" t="s">
        <v>3502</v>
      </c>
      <c r="F653" s="3"/>
      <c r="G653" s="3"/>
      <c r="H653" s="3" t="s">
        <v>410</v>
      </c>
      <c r="I653" s="3" t="s">
        <v>3503</v>
      </c>
      <c r="J653" s="3" t="s">
        <v>3504</v>
      </c>
      <c r="K653" s="3">
        <v>273033700</v>
      </c>
      <c r="L653" s="3" t="s">
        <v>3505</v>
      </c>
    </row>
    <row r="654" spans="1:12" x14ac:dyDescent="0.2">
      <c r="A654" s="1" t="s">
        <v>3506</v>
      </c>
      <c r="B654" s="2" t="str">
        <f>HYPERLINK("https://docket.philalegal.org/cgi-bin/proxy.pl?ct=230903123","230903123")</f>
        <v>230903123</v>
      </c>
      <c r="C654" s="3" t="s">
        <v>3507</v>
      </c>
      <c r="D654" s="3" t="s">
        <v>208</v>
      </c>
      <c r="E654" s="3" t="s">
        <v>194</v>
      </c>
      <c r="F654" s="3" t="s">
        <v>1426</v>
      </c>
      <c r="G654" s="3" t="s">
        <v>3791</v>
      </c>
      <c r="H654" s="3" t="s">
        <v>3508</v>
      </c>
      <c r="I654" s="3"/>
      <c r="J654" s="3" t="s">
        <v>3509</v>
      </c>
      <c r="K654" s="3">
        <v>393354800</v>
      </c>
      <c r="L654" s="3" t="s">
        <v>3510</v>
      </c>
    </row>
    <row r="655" spans="1:12" x14ac:dyDescent="0.2">
      <c r="A655" s="1" t="s">
        <v>3511</v>
      </c>
      <c r="B655" s="2" t="str">
        <f>HYPERLINK("https://docket.philalegal.org/cgi-bin/proxy.pl?ct=170900169","170900169")</f>
        <v>170900169</v>
      </c>
      <c r="C655" s="3" t="s">
        <v>2018</v>
      </c>
      <c r="D655" s="3" t="s">
        <v>18</v>
      </c>
      <c r="E655" s="3" t="s">
        <v>1332</v>
      </c>
      <c r="F655" s="3" t="s">
        <v>313</v>
      </c>
      <c r="G655" s="3" t="s">
        <v>2019</v>
      </c>
      <c r="H655" s="3" t="s">
        <v>2019</v>
      </c>
      <c r="I655" s="3" t="s">
        <v>2020</v>
      </c>
      <c r="J655" s="3" t="s">
        <v>3512</v>
      </c>
      <c r="K655" s="3">
        <v>885247920</v>
      </c>
      <c r="L655" s="3" t="s">
        <v>2022</v>
      </c>
    </row>
    <row r="656" spans="1:12" x14ac:dyDescent="0.2">
      <c r="A656" s="1" t="s">
        <v>3513</v>
      </c>
      <c r="B656" s="2" t="str">
        <f>HYPERLINK("https://docket.philalegal.org/cgi-bin/proxy.pl?ct=120602055","120602055")</f>
        <v>120602055</v>
      </c>
      <c r="C656" s="3" t="s">
        <v>3514</v>
      </c>
      <c r="D656" s="3" t="s">
        <v>841</v>
      </c>
      <c r="E656" s="3" t="s">
        <v>1131</v>
      </c>
      <c r="F656" s="3" t="s">
        <v>36</v>
      </c>
      <c r="G656" s="3" t="s">
        <v>3515</v>
      </c>
      <c r="H656" s="3" t="s">
        <v>3515</v>
      </c>
      <c r="I656" s="3"/>
      <c r="J656" s="3" t="s">
        <v>3516</v>
      </c>
      <c r="K656" s="3">
        <v>453322610</v>
      </c>
      <c r="L656" s="3" t="s">
        <v>3517</v>
      </c>
    </row>
    <row r="657" spans="1:12" x14ac:dyDescent="0.2">
      <c r="A657" s="1" t="s">
        <v>3518</v>
      </c>
      <c r="B657" s="2" t="str">
        <f>HYPERLINK("https://docket.philalegal.org/cgi-bin/proxy.pl?ct=230501016","230501016")</f>
        <v>230501016</v>
      </c>
      <c r="C657" s="3" t="s">
        <v>185</v>
      </c>
      <c r="D657" s="3" t="s">
        <v>208</v>
      </c>
      <c r="E657" s="3" t="s">
        <v>185</v>
      </c>
      <c r="F657" s="3" t="s">
        <v>210</v>
      </c>
      <c r="G657" s="3"/>
      <c r="H657" s="3" t="s">
        <v>3115</v>
      </c>
      <c r="I657" s="3"/>
      <c r="J657" s="3" t="s">
        <v>3519</v>
      </c>
      <c r="K657" s="3">
        <v>292137510</v>
      </c>
      <c r="L657" s="3" t="s">
        <v>3520</v>
      </c>
    </row>
    <row r="658" spans="1:12" x14ac:dyDescent="0.2">
      <c r="A658" s="1" t="s">
        <v>3521</v>
      </c>
      <c r="B658" s="2" t="str">
        <f>HYPERLINK("https://docket.philalegal.org/cgi-bin/proxy.pl?ct=231102026","231102026")</f>
        <v>231102026</v>
      </c>
      <c r="C658" s="3" t="s">
        <v>3522</v>
      </c>
      <c r="D658" s="3" t="s">
        <v>208</v>
      </c>
      <c r="E658" s="3" t="s">
        <v>1036</v>
      </c>
      <c r="F658" s="3"/>
      <c r="G658" s="3"/>
      <c r="H658" s="3" t="s">
        <v>3523</v>
      </c>
      <c r="I658" s="3"/>
      <c r="J658" s="3" t="s">
        <v>3524</v>
      </c>
      <c r="K658" s="3">
        <v>243071200</v>
      </c>
      <c r="L658" s="3" t="s">
        <v>3525</v>
      </c>
    </row>
    <row r="659" spans="1:12" x14ac:dyDescent="0.2">
      <c r="A659" s="1" t="s">
        <v>3526</v>
      </c>
      <c r="B659" s="2" t="str">
        <f>HYPERLINK("https://docket.philalegal.org/cgi-bin/proxy.pl?ct=221102750","221102750")</f>
        <v>221102750</v>
      </c>
      <c r="C659" s="3" t="s">
        <v>2090</v>
      </c>
      <c r="D659" s="3" t="s">
        <v>216</v>
      </c>
      <c r="E659" s="3" t="s">
        <v>270</v>
      </c>
      <c r="F659" s="3" t="s">
        <v>20</v>
      </c>
      <c r="G659" s="3" t="s">
        <v>2091</v>
      </c>
      <c r="H659" s="3" t="s">
        <v>2091</v>
      </c>
      <c r="I659" s="3" t="s">
        <v>36</v>
      </c>
      <c r="J659" s="3" t="s">
        <v>2092</v>
      </c>
      <c r="K659" s="3">
        <v>152273400</v>
      </c>
      <c r="L659" s="3" t="s">
        <v>3527</v>
      </c>
    </row>
    <row r="660" spans="1:12" x14ac:dyDescent="0.2">
      <c r="A660" s="1" t="s">
        <v>3528</v>
      </c>
      <c r="B660" s="2" t="str">
        <f>HYPERLINK("https://docket.philalegal.org/cgi-bin/proxy.pl?ct=220800514","220800514")</f>
        <v>220800514</v>
      </c>
      <c r="C660" s="3" t="s">
        <v>2043</v>
      </c>
      <c r="D660" s="3" t="s">
        <v>186</v>
      </c>
      <c r="E660" s="3" t="s">
        <v>194</v>
      </c>
      <c r="F660" s="3" t="s">
        <v>195</v>
      </c>
      <c r="G660" s="3"/>
      <c r="H660" s="3" t="s">
        <v>2044</v>
      </c>
      <c r="I660" s="3" t="s">
        <v>998</v>
      </c>
      <c r="J660" s="3" t="s">
        <v>3529</v>
      </c>
      <c r="K660" s="3">
        <v>361033305</v>
      </c>
      <c r="L660" s="3" t="s">
        <v>3530</v>
      </c>
    </row>
    <row r="661" spans="1:12" x14ac:dyDescent="0.2">
      <c r="A661" s="1" t="s">
        <v>3531</v>
      </c>
      <c r="B661" s="2" t="str">
        <f>HYPERLINK("https://docket.philalegal.org/cgi-bin/proxy.pl?ct=221200206","221200206")</f>
        <v>221200206</v>
      </c>
      <c r="C661" s="3" t="s">
        <v>3532</v>
      </c>
      <c r="D661" s="3" t="s">
        <v>216</v>
      </c>
      <c r="E661" s="3" t="s">
        <v>194</v>
      </c>
      <c r="F661" s="3" t="s">
        <v>20</v>
      </c>
      <c r="G661" s="3" t="s">
        <v>3790</v>
      </c>
      <c r="H661" s="3" t="s">
        <v>3533</v>
      </c>
      <c r="I661" s="3"/>
      <c r="J661" s="3" t="s">
        <v>3534</v>
      </c>
      <c r="K661" s="3">
        <v>481098500</v>
      </c>
      <c r="L661" s="3" t="s">
        <v>728</v>
      </c>
    </row>
    <row r="662" spans="1:12" x14ac:dyDescent="0.2">
      <c r="A662" s="1" t="s">
        <v>3535</v>
      </c>
      <c r="B662" s="2" t="str">
        <f>HYPERLINK("https://docket.philalegal.org/cgi-bin/proxy.pl?ct=170104752","170104752")</f>
        <v>170104752</v>
      </c>
      <c r="C662" s="3" t="s">
        <v>3536</v>
      </c>
      <c r="D662" s="3" t="s">
        <v>18</v>
      </c>
      <c r="E662" s="3" t="s">
        <v>3537</v>
      </c>
      <c r="F662" s="3" t="s">
        <v>173</v>
      </c>
      <c r="G662" s="3" t="s">
        <v>3538</v>
      </c>
      <c r="H662" s="3" t="s">
        <v>3538</v>
      </c>
      <c r="I662" s="3" t="s">
        <v>3539</v>
      </c>
      <c r="J662" s="3" t="s">
        <v>3540</v>
      </c>
      <c r="K662" s="3">
        <v>361337005</v>
      </c>
      <c r="L662" s="3" t="s">
        <v>3541</v>
      </c>
    </row>
    <row r="663" spans="1:12" x14ac:dyDescent="0.2">
      <c r="A663" s="1" t="s">
        <v>3542</v>
      </c>
      <c r="B663" s="2" t="str">
        <f>HYPERLINK("https://docket.philalegal.org/cgi-bin/proxy.pl?ct=200201727","200201727")</f>
        <v>200201727</v>
      </c>
      <c r="C663" s="3" t="s">
        <v>3543</v>
      </c>
      <c r="D663" s="3" t="s">
        <v>88</v>
      </c>
      <c r="E663" s="3" t="s">
        <v>230</v>
      </c>
      <c r="F663" s="3" t="s">
        <v>36</v>
      </c>
      <c r="G663" s="3" t="s">
        <v>3544</v>
      </c>
      <c r="H663" s="3" t="s">
        <v>3544</v>
      </c>
      <c r="I663" s="3" t="s">
        <v>2020</v>
      </c>
      <c r="J663" s="3" t="s">
        <v>3545</v>
      </c>
      <c r="K663" s="3">
        <v>481008600</v>
      </c>
      <c r="L663" s="3" t="s">
        <v>3546</v>
      </c>
    </row>
    <row r="664" spans="1:12" x14ac:dyDescent="0.2">
      <c r="A664" s="1" t="s">
        <v>3547</v>
      </c>
      <c r="B664" s="2" t="str">
        <f>HYPERLINK("https://docket.philalegal.org/cgi-bin/proxy.pl?ct=141101352","141101352")</f>
        <v>141101352</v>
      </c>
      <c r="C664" s="3" t="s">
        <v>3548</v>
      </c>
      <c r="D664" s="3" t="s">
        <v>88</v>
      </c>
      <c r="E664" s="3" t="s">
        <v>3549</v>
      </c>
      <c r="F664" s="3" t="s">
        <v>36</v>
      </c>
      <c r="G664" s="3" t="s">
        <v>3789</v>
      </c>
      <c r="H664" s="3" t="s">
        <v>3550</v>
      </c>
      <c r="I664" s="3"/>
      <c r="J664" s="3" t="s">
        <v>3551</v>
      </c>
      <c r="K664" s="3" t="s">
        <v>1878</v>
      </c>
      <c r="L664" s="3" t="s">
        <v>3552</v>
      </c>
    </row>
    <row r="665" spans="1:12" x14ac:dyDescent="0.2">
      <c r="A665" s="1" t="s">
        <v>3553</v>
      </c>
      <c r="B665" s="2" t="str">
        <f>HYPERLINK("https://docket.philalegal.org/cgi-bin/proxy.pl?ct=150402529","150402529")</f>
        <v>150402529</v>
      </c>
      <c r="C665" s="3" t="s">
        <v>3554</v>
      </c>
      <c r="D665" s="3" t="s">
        <v>18</v>
      </c>
      <c r="E665" s="3" t="s">
        <v>35</v>
      </c>
      <c r="F665" s="3" t="s">
        <v>36</v>
      </c>
      <c r="G665" s="3"/>
      <c r="H665" s="3" t="s">
        <v>3555</v>
      </c>
      <c r="I665" s="3"/>
      <c r="J665" s="3" t="s">
        <v>3556</v>
      </c>
      <c r="K665" s="3">
        <v>453238120</v>
      </c>
      <c r="L665" s="3" t="s">
        <v>3557</v>
      </c>
    </row>
    <row r="666" spans="1:12" x14ac:dyDescent="0.2">
      <c r="A666" s="1" t="s">
        <v>3558</v>
      </c>
      <c r="B666" s="2" t="str">
        <f>HYPERLINK("https://docket.philalegal.org/cgi-bin/proxy.pl?ct=140700649","140700649")</f>
        <v>140700649</v>
      </c>
      <c r="C666" s="3" t="s">
        <v>1437</v>
      </c>
      <c r="D666" s="3" t="s">
        <v>18</v>
      </c>
      <c r="E666" s="3" t="s">
        <v>1438</v>
      </c>
      <c r="F666" s="3" t="s">
        <v>36</v>
      </c>
      <c r="G666" s="3"/>
      <c r="H666" s="3" t="s">
        <v>1439</v>
      </c>
      <c r="I666" s="3" t="s">
        <v>3559</v>
      </c>
      <c r="J666" s="3" t="s">
        <v>3560</v>
      </c>
      <c r="K666" s="3">
        <v>182202400</v>
      </c>
      <c r="L666" s="3" t="s">
        <v>3561</v>
      </c>
    </row>
    <row r="667" spans="1:12" x14ac:dyDescent="0.2">
      <c r="A667" s="1" t="s">
        <v>3562</v>
      </c>
      <c r="B667" s="2" t="str">
        <f>HYPERLINK("https://docket.philalegal.org/cgi-bin/proxy.pl?ct=221200489","221200489")</f>
        <v>221200489</v>
      </c>
      <c r="C667" s="3" t="s">
        <v>3563</v>
      </c>
      <c r="D667" s="3" t="s">
        <v>13</v>
      </c>
      <c r="E667" s="3" t="s">
        <v>3564</v>
      </c>
      <c r="F667" s="3" t="s">
        <v>476</v>
      </c>
      <c r="G667" s="3" t="s">
        <v>3788</v>
      </c>
      <c r="H667" s="3" t="s">
        <v>3565</v>
      </c>
      <c r="I667" s="3" t="s">
        <v>3566</v>
      </c>
      <c r="J667" s="3" t="s">
        <v>3567</v>
      </c>
      <c r="K667" s="3">
        <v>591156500</v>
      </c>
      <c r="L667" s="3" t="s">
        <v>3568</v>
      </c>
    </row>
    <row r="668" spans="1:12" x14ac:dyDescent="0.2">
      <c r="A668" s="1" t="s">
        <v>3569</v>
      </c>
      <c r="B668" s="2" t="str">
        <f>HYPERLINK("https://docket.philalegal.org/cgi-bin/proxy.pl?ct=220700187","220700187")</f>
        <v>220700187</v>
      </c>
      <c r="C668" s="3" t="s">
        <v>185</v>
      </c>
      <c r="D668" s="3" t="s">
        <v>13</v>
      </c>
      <c r="E668" s="3" t="s">
        <v>187</v>
      </c>
      <c r="F668" s="3" t="s">
        <v>188</v>
      </c>
      <c r="G668" s="3"/>
      <c r="H668" s="3" t="s">
        <v>189</v>
      </c>
      <c r="I668" s="3" t="s">
        <v>1599</v>
      </c>
      <c r="J668" s="3" t="s">
        <v>3570</v>
      </c>
      <c r="K668" s="3">
        <v>202137400</v>
      </c>
      <c r="L668" s="3" t="s">
        <v>3571</v>
      </c>
    </row>
    <row r="669" spans="1:12" x14ac:dyDescent="0.2">
      <c r="A669" s="1" t="s">
        <v>3572</v>
      </c>
      <c r="B669" s="2" t="str">
        <f>HYPERLINK("https://docket.philalegal.org/cgi-bin/proxy.pl?ct=171202845","171202845")</f>
        <v>171202845</v>
      </c>
      <c r="C669" s="3" t="s">
        <v>185</v>
      </c>
      <c r="D669" s="3" t="s">
        <v>13</v>
      </c>
      <c r="E669" s="3" t="s">
        <v>187</v>
      </c>
      <c r="F669" s="3" t="s">
        <v>210</v>
      </c>
      <c r="G669" s="3" t="s">
        <v>3787</v>
      </c>
      <c r="H669" s="3" t="s">
        <v>2100</v>
      </c>
      <c r="I669" s="3" t="s">
        <v>3258</v>
      </c>
      <c r="J669" s="3" t="s">
        <v>2102</v>
      </c>
      <c r="K669" s="3" t="s">
        <v>3336</v>
      </c>
      <c r="L669" s="3" t="s">
        <v>3573</v>
      </c>
    </row>
    <row r="670" spans="1:12" x14ac:dyDescent="0.2">
      <c r="A670" s="1" t="s">
        <v>3574</v>
      </c>
      <c r="B670" s="2" t="str">
        <f>HYPERLINK("https://docket.philalegal.org/cgi-bin/proxy.pl?ct=160800996","160800996")</f>
        <v>160800996</v>
      </c>
      <c r="C670" s="3" t="s">
        <v>3575</v>
      </c>
      <c r="D670" s="3" t="s">
        <v>13</v>
      </c>
      <c r="E670" s="3" t="s">
        <v>636</v>
      </c>
      <c r="F670" s="3" t="s">
        <v>710</v>
      </c>
      <c r="G670" s="3"/>
      <c r="H670" s="3" t="s">
        <v>3576</v>
      </c>
      <c r="I670" s="3" t="s">
        <v>3258</v>
      </c>
      <c r="J670" s="3" t="s">
        <v>3577</v>
      </c>
      <c r="K670" s="3">
        <v>884460320</v>
      </c>
      <c r="L670" s="3" t="s">
        <v>3578</v>
      </c>
    </row>
    <row r="671" spans="1:12" x14ac:dyDescent="0.2">
      <c r="A671" s="1" t="s">
        <v>3579</v>
      </c>
      <c r="B671" s="2" t="str">
        <f>HYPERLINK("https://docket.philalegal.org/cgi-bin/proxy.pl?ct=140100161","140100161")</f>
        <v>140100161</v>
      </c>
      <c r="C671" s="3" t="s">
        <v>3580</v>
      </c>
      <c r="D671" s="3" t="s">
        <v>88</v>
      </c>
      <c r="E671" s="3" t="s">
        <v>3581</v>
      </c>
      <c r="F671" s="3" t="s">
        <v>712</v>
      </c>
      <c r="G671" s="3" t="s">
        <v>3582</v>
      </c>
      <c r="H671" s="3" t="s">
        <v>3582</v>
      </c>
      <c r="I671" s="3"/>
      <c r="J671" s="3" t="s">
        <v>3583</v>
      </c>
      <c r="K671" s="3">
        <v>301095900</v>
      </c>
      <c r="L671" s="3" t="s">
        <v>3584</v>
      </c>
    </row>
    <row r="672" spans="1:12" x14ac:dyDescent="0.2">
      <c r="A672" s="1" t="s">
        <v>3585</v>
      </c>
      <c r="B672" s="2" t="str">
        <f>HYPERLINK("https://docket.philalegal.org/cgi-bin/proxy.pl?ct=151000557","151000557")</f>
        <v>151000557</v>
      </c>
      <c r="C672" s="3" t="s">
        <v>1177</v>
      </c>
      <c r="D672" s="3" t="s">
        <v>18</v>
      </c>
      <c r="E672" s="3" t="s">
        <v>1178</v>
      </c>
      <c r="F672" s="3" t="s">
        <v>36</v>
      </c>
      <c r="G672" s="3" t="s">
        <v>3586</v>
      </c>
      <c r="H672" s="3" t="s">
        <v>3586</v>
      </c>
      <c r="I672" s="3" t="s">
        <v>3587</v>
      </c>
      <c r="J672" s="3" t="s">
        <v>3588</v>
      </c>
      <c r="K672" s="3">
        <v>471012900</v>
      </c>
      <c r="L672" s="3" t="s">
        <v>3589</v>
      </c>
    </row>
    <row r="673" spans="1:12" x14ac:dyDescent="0.2">
      <c r="A673" s="1" t="s">
        <v>3590</v>
      </c>
      <c r="B673" s="2" t="str">
        <f>HYPERLINK("https://docket.philalegal.org/cgi-bin/proxy.pl?ct=150304356","150304356")</f>
        <v>150304356</v>
      </c>
      <c r="C673" s="3" t="s">
        <v>3591</v>
      </c>
      <c r="D673" s="3" t="s">
        <v>18</v>
      </c>
      <c r="E673" s="3" t="s">
        <v>885</v>
      </c>
      <c r="F673" s="3" t="s">
        <v>20</v>
      </c>
      <c r="G673" s="3" t="s">
        <v>3786</v>
      </c>
      <c r="H673" s="3" t="s">
        <v>3592</v>
      </c>
      <c r="I673" s="3" t="s">
        <v>3593</v>
      </c>
      <c r="J673" s="3" t="s">
        <v>3594</v>
      </c>
      <c r="K673" s="3">
        <v>152161500</v>
      </c>
      <c r="L673" s="3" t="s">
        <v>3595</v>
      </c>
    </row>
  </sheetData>
  <pageMargins left="0.7" right="0.7" top="0.75" bottom="0.75" header="0.3" footer="0.3"/>
  <pageSetup fitToHeight="0" orientation="landscape"/>
  <headerFooter>
    <oddFooter>&amp;L&amp;D&amp;RPage &amp;P of &amp;N</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act135cases</vt:lpstr>
      <vt:lpstr>act135cases!Print_Titles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Elizabeth Shackney</cp:lastModifiedBy>
  <dcterms:created xsi:type="dcterms:W3CDTF">2024-02-07T21:19:48Z</dcterms:created>
  <dcterms:modified xsi:type="dcterms:W3CDTF">2024-03-13T01:37:25Z</dcterms:modified>
</cp:coreProperties>
</file>