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75" windowWidth="25035" windowHeight="14295" tabRatio="920" activeTab="1"/>
  </bookViews>
  <sheets>
    <sheet name="Macromolecular Composition" sheetId="12" r:id="rId1"/>
    <sheet name="Biomass_WT" sheetId="1" r:id="rId2"/>
    <sheet name="Biomass Core" sheetId="22" r:id="rId3"/>
    <sheet name="Soluble pool" sheetId="5" r:id="rId4"/>
    <sheet name="Ions" sheetId="6" r:id="rId5"/>
    <sheet name="Murein" sheetId="7" r:id="rId6"/>
    <sheet name="Lipids " sheetId="3" r:id="rId7"/>
    <sheet name="RNA" sheetId="8" r:id="rId8"/>
    <sheet name="DNA" sheetId="10" r:id="rId9"/>
    <sheet name="Amino acids" sheetId="11" r:id="rId10"/>
    <sheet name="Lipid Core" sheetId="24" r:id="rId11"/>
    <sheet name="Soluble Core" sheetId="25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7" l="1"/>
  <c r="E32" i="1"/>
  <c r="Q32" i="1"/>
  <c r="S32" i="1"/>
  <c r="T32" i="1"/>
  <c r="G8" i="7"/>
  <c r="E33" i="1"/>
  <c r="Q33" i="1"/>
  <c r="S33" i="1"/>
  <c r="T33" i="1"/>
  <c r="G9" i="7"/>
  <c r="E34" i="1"/>
  <c r="Q34" i="1"/>
  <c r="S34" i="1"/>
  <c r="T34" i="1"/>
  <c r="G10" i="7"/>
  <c r="E35" i="1"/>
  <c r="Q35" i="1"/>
  <c r="S35" i="1"/>
  <c r="T35" i="1"/>
  <c r="G11" i="7"/>
  <c r="E36" i="1"/>
  <c r="Q36" i="1"/>
  <c r="S36" i="1"/>
  <c r="T36" i="1"/>
  <c r="U32" i="1"/>
  <c r="V32" i="1"/>
  <c r="D7" i="12"/>
  <c r="D32" i="1"/>
  <c r="W32" i="1"/>
  <c r="X32" i="1"/>
  <c r="F32" i="1"/>
  <c r="C11" i="24"/>
  <c r="D11" i="24"/>
  <c r="C19" i="24"/>
  <c r="C12" i="24"/>
  <c r="D12" i="24"/>
  <c r="C13" i="24"/>
  <c r="D13" i="24"/>
  <c r="B21" i="24"/>
  <c r="C10" i="24"/>
  <c r="D10" i="24"/>
  <c r="C18" i="24"/>
  <c r="C5" i="24"/>
  <c r="D5" i="24"/>
  <c r="C4" i="24"/>
  <c r="D4" i="24"/>
  <c r="B14" i="24"/>
  <c r="B6" i="24"/>
  <c r="Q34" i="22"/>
  <c r="S34" i="22"/>
  <c r="T34" i="22"/>
  <c r="Q32" i="22"/>
  <c r="S32" i="22"/>
  <c r="AF99" i="22"/>
  <c r="Q97" i="22"/>
  <c r="Q96" i="22"/>
  <c r="Q95" i="22"/>
  <c r="Q94" i="22"/>
  <c r="Q93" i="22"/>
  <c r="F93" i="22"/>
  <c r="Q92" i="22"/>
  <c r="F92" i="22"/>
  <c r="Q91" i="22"/>
  <c r="F91" i="22"/>
  <c r="Q86" i="22"/>
  <c r="F86" i="22"/>
  <c r="Q85" i="22"/>
  <c r="F85" i="22"/>
  <c r="S84" i="22"/>
  <c r="S83" i="22"/>
  <c r="S82" i="22"/>
  <c r="S81" i="22"/>
  <c r="Q80" i="22"/>
  <c r="S80" i="22"/>
  <c r="Q79" i="22"/>
  <c r="S79" i="22"/>
  <c r="Q78" i="22"/>
  <c r="S78" i="22"/>
  <c r="Q77" i="22"/>
  <c r="S77" i="22"/>
  <c r="Q76" i="22"/>
  <c r="S76" i="22"/>
  <c r="Q75" i="22"/>
  <c r="S75" i="22"/>
  <c r="Q74" i="22"/>
  <c r="S74" i="22"/>
  <c r="Q73" i="22"/>
  <c r="S73" i="22"/>
  <c r="Q72" i="22"/>
  <c r="S72" i="22"/>
  <c r="Q71" i="22"/>
  <c r="S71" i="22"/>
  <c r="Q70" i="22"/>
  <c r="S70" i="22"/>
  <c r="Q69" i="22"/>
  <c r="S69" i="22"/>
  <c r="Q68" i="22"/>
  <c r="S68" i="22"/>
  <c r="Q67" i="22"/>
  <c r="S67" i="22"/>
  <c r="Q66" i="22"/>
  <c r="S66" i="22"/>
  <c r="Q65" i="22"/>
  <c r="S65" i="22"/>
  <c r="Q64" i="22"/>
  <c r="S64" i="22"/>
  <c r="Q63" i="22"/>
  <c r="S63" i="22"/>
  <c r="Q62" i="22"/>
  <c r="S62" i="22"/>
  <c r="Q61" i="22"/>
  <c r="S61" i="22"/>
  <c r="Q60" i="22"/>
  <c r="S60" i="22"/>
  <c r="Q59" i="22"/>
  <c r="S59" i="22"/>
  <c r="Q58" i="22"/>
  <c r="S58" i="22"/>
  <c r="Q57" i="22"/>
  <c r="S57" i="22"/>
  <c r="S56" i="22"/>
  <c r="S55" i="22"/>
  <c r="S54" i="22"/>
  <c r="S53" i="22"/>
  <c r="S52" i="22"/>
  <c r="S51" i="22"/>
  <c r="S50" i="22"/>
  <c r="S49" i="22"/>
  <c r="S48" i="22"/>
  <c r="S47" i="22"/>
  <c r="S46" i="22"/>
  <c r="S45" i="22"/>
  <c r="Q44" i="22"/>
  <c r="S44" i="22"/>
  <c r="S43" i="22"/>
  <c r="Q42" i="22"/>
  <c r="S42" i="22"/>
  <c r="Q41" i="22"/>
  <c r="S41" i="22"/>
  <c r="Q40" i="22"/>
  <c r="S40" i="22"/>
  <c r="Q39" i="22"/>
  <c r="S39" i="22"/>
  <c r="Q38" i="22"/>
  <c r="S38" i="22"/>
  <c r="Q37" i="22"/>
  <c r="S37" i="22"/>
  <c r="Q36" i="22"/>
  <c r="S36" i="22"/>
  <c r="Q35" i="22"/>
  <c r="S35" i="22"/>
  <c r="Q33" i="22"/>
  <c r="S33" i="22"/>
  <c r="T33" i="22"/>
  <c r="Q31" i="22"/>
  <c r="D9" i="8"/>
  <c r="E9" i="8"/>
  <c r="G9" i="8"/>
  <c r="H9" i="8"/>
  <c r="J9" i="8"/>
  <c r="K9" i="8"/>
  <c r="L9" i="8"/>
  <c r="E31" i="22"/>
  <c r="Q30" i="22"/>
  <c r="D8" i="8"/>
  <c r="E8" i="8"/>
  <c r="G8" i="8"/>
  <c r="H8" i="8"/>
  <c r="J8" i="8"/>
  <c r="K8" i="8"/>
  <c r="L8" i="8"/>
  <c r="E30" i="22"/>
  <c r="Q29" i="22"/>
  <c r="S29" i="22"/>
  <c r="D7" i="8"/>
  <c r="E7" i="8"/>
  <c r="G7" i="8"/>
  <c r="H7" i="8"/>
  <c r="J7" i="8"/>
  <c r="K7" i="8"/>
  <c r="L7" i="8"/>
  <c r="E29" i="22"/>
  <c r="Q28" i="22"/>
  <c r="D6" i="8"/>
  <c r="E6" i="8"/>
  <c r="G6" i="8"/>
  <c r="H6" i="8"/>
  <c r="J6" i="8"/>
  <c r="K6" i="8"/>
  <c r="L6" i="8"/>
  <c r="E28" i="22"/>
  <c r="Q27" i="22"/>
  <c r="S27" i="22"/>
  <c r="Q26" i="22"/>
  <c r="S26" i="22"/>
  <c r="Q25" i="22"/>
  <c r="S25" i="22"/>
  <c r="Q24" i="22"/>
  <c r="S24" i="22"/>
  <c r="Q23" i="22"/>
  <c r="D25" i="11"/>
  <c r="E23" i="22"/>
  <c r="Q22" i="22"/>
  <c r="S22" i="22"/>
  <c r="D24" i="11"/>
  <c r="E22" i="22"/>
  <c r="Q21" i="22"/>
  <c r="D23" i="11"/>
  <c r="E21" i="22"/>
  <c r="Q20" i="22"/>
  <c r="S20" i="22"/>
  <c r="D22" i="11"/>
  <c r="E20" i="22"/>
  <c r="Q19" i="22"/>
  <c r="D21" i="11"/>
  <c r="E19" i="22"/>
  <c r="Q18" i="22"/>
  <c r="S18" i="22"/>
  <c r="D20" i="11"/>
  <c r="E18" i="22"/>
  <c r="Q17" i="22"/>
  <c r="S17" i="22"/>
  <c r="D19" i="11"/>
  <c r="E17" i="22"/>
  <c r="Q16" i="22"/>
  <c r="D18" i="11"/>
  <c r="E16" i="22"/>
  <c r="Q15" i="22"/>
  <c r="S15" i="22"/>
  <c r="D17" i="11"/>
  <c r="E15" i="22"/>
  <c r="Q14" i="22"/>
  <c r="D16" i="11"/>
  <c r="E14" i="22"/>
  <c r="Q13" i="22"/>
  <c r="S13" i="22"/>
  <c r="D15" i="11"/>
  <c r="E13" i="22"/>
  <c r="Q12" i="22"/>
  <c r="D14" i="11"/>
  <c r="E12" i="22"/>
  <c r="Q11" i="22"/>
  <c r="S11" i="22"/>
  <c r="D13" i="11"/>
  <c r="E11" i="22"/>
  <c r="Q10" i="22"/>
  <c r="D12" i="11"/>
  <c r="E10" i="22"/>
  <c r="Q9" i="22"/>
  <c r="S9" i="22"/>
  <c r="D11" i="11"/>
  <c r="E9" i="22"/>
  <c r="Q8" i="22"/>
  <c r="D10" i="11"/>
  <c r="E8" i="22"/>
  <c r="Q7" i="22"/>
  <c r="S7" i="22"/>
  <c r="D9" i="11"/>
  <c r="E7" i="22"/>
  <c r="Q6" i="22"/>
  <c r="D8" i="11"/>
  <c r="E6" i="22"/>
  <c r="Q5" i="22"/>
  <c r="S5" i="22"/>
  <c r="D7" i="11"/>
  <c r="E5" i="22"/>
  <c r="Q4" i="22"/>
  <c r="D6" i="11"/>
  <c r="E4" i="22"/>
  <c r="Q54" i="1"/>
  <c r="S54" i="1"/>
  <c r="Q53" i="1"/>
  <c r="S53" i="1"/>
  <c r="C14" i="3"/>
  <c r="C15" i="3"/>
  <c r="C16" i="3"/>
  <c r="C17" i="3"/>
  <c r="C18" i="3"/>
  <c r="D18" i="3"/>
  <c r="B28" i="3"/>
  <c r="C13" i="3"/>
  <c r="B19" i="3"/>
  <c r="S105" i="1"/>
  <c r="C20" i="24"/>
  <c r="B20" i="24"/>
  <c r="B18" i="24"/>
  <c r="C21" i="24"/>
  <c r="D33" i="24"/>
  <c r="E42" i="22"/>
  <c r="T42" i="22"/>
  <c r="B19" i="24"/>
  <c r="C28" i="3"/>
  <c r="D49" i="3"/>
  <c r="E54" i="1"/>
  <c r="T54" i="1"/>
  <c r="C19" i="3"/>
  <c r="D48" i="3"/>
  <c r="E53" i="1"/>
  <c r="T53" i="1"/>
  <c r="AD86" i="22"/>
  <c r="S30" i="22"/>
  <c r="T30" i="22"/>
  <c r="S31" i="22"/>
  <c r="S4" i="22"/>
  <c r="T4" i="22"/>
  <c r="S6" i="22"/>
  <c r="S8" i="22"/>
  <c r="S19" i="22"/>
  <c r="T19" i="22"/>
  <c r="S21" i="22"/>
  <c r="T21" i="22"/>
  <c r="S23" i="22"/>
  <c r="S28" i="22"/>
  <c r="T28" i="22"/>
  <c r="T9" i="22"/>
  <c r="S10" i="22"/>
  <c r="T10" i="22"/>
  <c r="S12" i="22"/>
  <c r="S14" i="22"/>
  <c r="S16" i="22"/>
  <c r="T16" i="22"/>
  <c r="C6" i="24"/>
  <c r="D6" i="24"/>
  <c r="C14" i="24"/>
  <c r="D30" i="24"/>
  <c r="E39" i="22"/>
  <c r="T39" i="22"/>
  <c r="D31" i="24"/>
  <c r="E40" i="22"/>
  <c r="T40" i="22"/>
  <c r="D32" i="24"/>
  <c r="E41" i="22"/>
  <c r="T41" i="22"/>
  <c r="T5" i="22"/>
  <c r="T14" i="22"/>
  <c r="AD92" i="22"/>
  <c r="T18" i="22"/>
  <c r="T22" i="22"/>
  <c r="T17" i="22"/>
  <c r="T12" i="22"/>
  <c r="T29" i="22"/>
  <c r="AD93" i="22"/>
  <c r="T6" i="22"/>
  <c r="T8" i="22"/>
  <c r="T11" i="22"/>
  <c r="T20" i="22"/>
  <c r="AD91" i="22"/>
  <c r="T31" i="22"/>
  <c r="T32" i="22"/>
  <c r="T13" i="22"/>
  <c r="T7" i="22"/>
  <c r="T15" i="22"/>
  <c r="T23" i="22"/>
  <c r="U33" i="22"/>
  <c r="V33" i="22"/>
  <c r="AD85" i="22"/>
  <c r="AI17" i="22"/>
  <c r="C22" i="24"/>
  <c r="B22" i="24"/>
  <c r="E28" i="3"/>
  <c r="D14" i="24"/>
  <c r="D27" i="24"/>
  <c r="E36" i="22"/>
  <c r="T36" i="22"/>
  <c r="D19" i="24"/>
  <c r="D29" i="24"/>
  <c r="E38" i="22"/>
  <c r="T38" i="22"/>
  <c r="D21" i="24"/>
  <c r="D28" i="24"/>
  <c r="E37" i="22"/>
  <c r="T37" i="22"/>
  <c r="D20" i="24"/>
  <c r="D26" i="24"/>
  <c r="D18" i="24"/>
  <c r="U4" i="22"/>
  <c r="V6" i="22"/>
  <c r="AI18" i="22"/>
  <c r="AI19" i="22"/>
  <c r="U32" i="22"/>
  <c r="U28" i="22"/>
  <c r="V28" i="22"/>
  <c r="D22" i="24"/>
  <c r="D34" i="24"/>
  <c r="E35" i="22"/>
  <c r="T35" i="22"/>
  <c r="U34" i="22"/>
  <c r="V34" i="22"/>
  <c r="V16" i="22"/>
  <c r="V19" i="22"/>
  <c r="V5" i="22"/>
  <c r="V12" i="22"/>
  <c r="V15" i="22"/>
  <c r="V21" i="22"/>
  <c r="V9" i="22"/>
  <c r="V8" i="22"/>
  <c r="V11" i="22"/>
  <c r="V22" i="22"/>
  <c r="V14" i="22"/>
  <c r="V23" i="22"/>
  <c r="V13" i="22"/>
  <c r="V10" i="22"/>
  <c r="V17" i="22"/>
  <c r="V7" i="22"/>
  <c r="V4" i="22"/>
  <c r="V18" i="22"/>
  <c r="V20" i="22"/>
  <c r="V29" i="22"/>
  <c r="V30" i="22"/>
  <c r="V31" i="22"/>
  <c r="V32" i="22"/>
  <c r="V36" i="22"/>
  <c r="V38" i="22"/>
  <c r="V40" i="22"/>
  <c r="V39" i="22"/>
  <c r="V37" i="22"/>
  <c r="V35" i="22"/>
  <c r="V41" i="22"/>
  <c r="V42" i="22"/>
  <c r="E22" i="24"/>
  <c r="S102" i="1"/>
  <c r="S103" i="1"/>
  <c r="S104" i="1"/>
  <c r="S101" i="1"/>
  <c r="S100" i="1"/>
  <c r="S99" i="1"/>
  <c r="S98" i="1"/>
  <c r="F106" i="1"/>
  <c r="Q106" i="1"/>
  <c r="AD106" i="1"/>
  <c r="F107" i="1"/>
  <c r="Q107" i="1"/>
  <c r="S68" i="1"/>
  <c r="S67" i="1"/>
  <c r="AF120" i="1"/>
  <c r="AD107" i="1"/>
  <c r="Q52" i="1"/>
  <c r="S52" i="1"/>
  <c r="Q48" i="1"/>
  <c r="S48" i="1"/>
  <c r="Q47" i="1"/>
  <c r="S47" i="1"/>
  <c r="Q43" i="1"/>
  <c r="S43" i="1"/>
  <c r="Q42" i="1"/>
  <c r="S42" i="1"/>
  <c r="Q38" i="1"/>
  <c r="S38" i="1"/>
  <c r="E29" i="1"/>
  <c r="E30" i="1"/>
  <c r="E31" i="1"/>
  <c r="E28" i="1"/>
  <c r="L10" i="8"/>
  <c r="K10" i="8"/>
  <c r="J10" i="8"/>
  <c r="I10" i="8"/>
  <c r="H10" i="8"/>
  <c r="G10" i="8"/>
  <c r="F10" i="8"/>
  <c r="E10" i="8"/>
  <c r="D10" i="8"/>
  <c r="C10" i="8"/>
  <c r="E7" i="10"/>
  <c r="F7" i="10"/>
  <c r="E25" i="1"/>
  <c r="E8" i="10"/>
  <c r="F8" i="10"/>
  <c r="E26" i="1"/>
  <c r="E9" i="10"/>
  <c r="F9" i="10"/>
  <c r="E27" i="1"/>
  <c r="D10" i="10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11" i="12"/>
  <c r="D10" i="12"/>
  <c r="D9" i="12"/>
  <c r="D8" i="12"/>
  <c r="D6" i="12"/>
  <c r="D5" i="12"/>
  <c r="D4" i="12"/>
  <c r="D4" i="22"/>
  <c r="B26" i="11"/>
  <c r="C26" i="11"/>
  <c r="E6" i="10"/>
  <c r="F6" i="10"/>
  <c r="E24" i="22"/>
  <c r="T24" i="22"/>
  <c r="E27" i="22"/>
  <c r="T27" i="22"/>
  <c r="E26" i="22"/>
  <c r="T26" i="22"/>
  <c r="E25" i="22"/>
  <c r="T25" i="22"/>
  <c r="E10" i="10"/>
  <c r="E20" i="6"/>
  <c r="G11" i="6"/>
  <c r="C47" i="5"/>
  <c r="H15" i="5"/>
  <c r="F76" i="22"/>
  <c r="AD76" i="22"/>
  <c r="I5" i="5"/>
  <c r="Q118" i="1"/>
  <c r="Q117" i="1"/>
  <c r="Q116" i="1"/>
  <c r="Q115" i="1"/>
  <c r="Q114" i="1"/>
  <c r="F114" i="1"/>
  <c r="Q113" i="1"/>
  <c r="F113" i="1"/>
  <c r="Q112" i="1"/>
  <c r="F112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S66" i="1"/>
  <c r="S65" i="1"/>
  <c r="S64" i="1"/>
  <c r="S63" i="1"/>
  <c r="S62" i="1"/>
  <c r="S61" i="1"/>
  <c r="S60" i="1"/>
  <c r="S59" i="1"/>
  <c r="S58" i="1"/>
  <c r="S57" i="1"/>
  <c r="Q56" i="1"/>
  <c r="S56" i="1"/>
  <c r="S55" i="1"/>
  <c r="Q51" i="1"/>
  <c r="S51" i="1"/>
  <c r="Q50" i="1"/>
  <c r="S50" i="1"/>
  <c r="Q49" i="1"/>
  <c r="S49" i="1"/>
  <c r="Q46" i="1"/>
  <c r="S46" i="1"/>
  <c r="Q45" i="1"/>
  <c r="S45" i="1"/>
  <c r="Q44" i="1"/>
  <c r="S44" i="1"/>
  <c r="Q41" i="1"/>
  <c r="S41" i="1"/>
  <c r="Q40" i="1"/>
  <c r="S40" i="1"/>
  <c r="Q39" i="1"/>
  <c r="S39" i="1"/>
  <c r="Q37" i="1"/>
  <c r="S37" i="1"/>
  <c r="T37" i="1"/>
  <c r="Q31" i="1"/>
  <c r="Q30" i="1"/>
  <c r="Q29" i="1"/>
  <c r="Q28" i="1"/>
  <c r="Q27" i="1"/>
  <c r="S27" i="1"/>
  <c r="Q26" i="1"/>
  <c r="S26" i="1"/>
  <c r="Q25" i="1"/>
  <c r="S25" i="1"/>
  <c r="Q24" i="1"/>
  <c r="S24" i="1"/>
  <c r="Q23" i="1"/>
  <c r="Q22" i="1"/>
  <c r="S22" i="1"/>
  <c r="T22" i="1"/>
  <c r="Q21" i="1"/>
  <c r="S21" i="1"/>
  <c r="Q20" i="1"/>
  <c r="S20" i="1"/>
  <c r="Q19" i="1"/>
  <c r="Q18" i="1"/>
  <c r="S18" i="1"/>
  <c r="T18" i="1"/>
  <c r="Q17" i="1"/>
  <c r="S17" i="1"/>
  <c r="Q16" i="1"/>
  <c r="S16" i="1"/>
  <c r="Q15" i="1"/>
  <c r="Q14" i="1"/>
  <c r="S14" i="1"/>
  <c r="T14" i="1"/>
  <c r="Q13" i="1"/>
  <c r="S13" i="1"/>
  <c r="Q12" i="1"/>
  <c r="S12" i="1"/>
  <c r="Q11" i="1"/>
  <c r="Q10" i="1"/>
  <c r="S10" i="1"/>
  <c r="T10" i="1"/>
  <c r="Q9" i="1"/>
  <c r="S9" i="1"/>
  <c r="Q8" i="1"/>
  <c r="Q7" i="1"/>
  <c r="S7" i="1"/>
  <c r="Q6" i="1"/>
  <c r="S6" i="1"/>
  <c r="Q5" i="1"/>
  <c r="S5" i="1"/>
  <c r="Q4" i="1"/>
  <c r="E70" i="1"/>
  <c r="T70" i="1"/>
  <c r="E58" i="22"/>
  <c r="T58" i="22"/>
  <c r="G6" i="6"/>
  <c r="D28" i="1"/>
  <c r="D28" i="22"/>
  <c r="D32" i="22"/>
  <c r="W32" i="22"/>
  <c r="X32" i="22"/>
  <c r="F32" i="22"/>
  <c r="AD32" i="22"/>
  <c r="D37" i="1"/>
  <c r="D33" i="22"/>
  <c r="W33" i="22"/>
  <c r="D38" i="1"/>
  <c r="D34" i="22"/>
  <c r="D55" i="1"/>
  <c r="D43" i="22"/>
  <c r="D71" i="1"/>
  <c r="D59" i="22"/>
  <c r="W6" i="22"/>
  <c r="X6" i="22"/>
  <c r="F6" i="22"/>
  <c r="AD6" i="22"/>
  <c r="W22" i="22"/>
  <c r="X22" i="22"/>
  <c r="F22" i="22"/>
  <c r="AD22" i="22"/>
  <c r="W9" i="22"/>
  <c r="X9" i="22"/>
  <c r="F9" i="22"/>
  <c r="AD9" i="22"/>
  <c r="W15" i="22"/>
  <c r="X15" i="22"/>
  <c r="F15" i="22"/>
  <c r="AD15" i="22"/>
  <c r="W8" i="22"/>
  <c r="X8" i="22"/>
  <c r="F8" i="22"/>
  <c r="AD8" i="22"/>
  <c r="W19" i="22"/>
  <c r="X19" i="22"/>
  <c r="F19" i="22"/>
  <c r="AD19" i="22"/>
  <c r="W11" i="22"/>
  <c r="X11" i="22"/>
  <c r="F11" i="22"/>
  <c r="AD11" i="22"/>
  <c r="W16" i="22"/>
  <c r="X16" i="22"/>
  <c r="F16" i="22"/>
  <c r="AD16" i="22"/>
  <c r="W10" i="22"/>
  <c r="X10" i="22"/>
  <c r="F10" i="22"/>
  <c r="AD10" i="22"/>
  <c r="W12" i="22"/>
  <c r="X12" i="22"/>
  <c r="F12" i="22"/>
  <c r="AD12" i="22"/>
  <c r="W23" i="22"/>
  <c r="X23" i="22"/>
  <c r="F23" i="22"/>
  <c r="AD23" i="22"/>
  <c r="W21" i="22"/>
  <c r="X21" i="22"/>
  <c r="F21" i="22"/>
  <c r="AD21" i="22"/>
  <c r="W20" i="22"/>
  <c r="X20" i="22"/>
  <c r="F20" i="22"/>
  <c r="AD20" i="22"/>
  <c r="W7" i="22"/>
  <c r="X7" i="22"/>
  <c r="F7" i="22"/>
  <c r="AD7" i="22"/>
  <c r="W14" i="22"/>
  <c r="X14" i="22"/>
  <c r="F14" i="22"/>
  <c r="AD14" i="22"/>
  <c r="W5" i="22"/>
  <c r="X5" i="22"/>
  <c r="F5" i="22"/>
  <c r="AD5" i="22"/>
  <c r="W4" i="22"/>
  <c r="W18" i="22"/>
  <c r="X18" i="22"/>
  <c r="F18" i="22"/>
  <c r="AD18" i="22"/>
  <c r="W17" i="22"/>
  <c r="X17" i="22"/>
  <c r="F17" i="22"/>
  <c r="AD17" i="22"/>
  <c r="W13" i="22"/>
  <c r="X13" i="22"/>
  <c r="F13" i="22"/>
  <c r="AD13" i="22"/>
  <c r="D24" i="1"/>
  <c r="D24" i="22"/>
  <c r="F10" i="10"/>
  <c r="U24" i="22"/>
  <c r="V25" i="22"/>
  <c r="V24" i="22"/>
  <c r="W24" i="22"/>
  <c r="V27" i="22"/>
  <c r="E24" i="1"/>
  <c r="H31" i="5"/>
  <c r="F80" i="22"/>
  <c r="AD80" i="22"/>
  <c r="H36" i="5"/>
  <c r="H37" i="5"/>
  <c r="H38" i="5"/>
  <c r="H39" i="5"/>
  <c r="H30" i="5"/>
  <c r="F75" i="22"/>
  <c r="AD75" i="22"/>
  <c r="H40" i="5"/>
  <c r="H33" i="5"/>
  <c r="H34" i="5"/>
  <c r="H35" i="5"/>
  <c r="T6" i="1"/>
  <c r="T9" i="1"/>
  <c r="T13" i="1"/>
  <c r="T17" i="1"/>
  <c r="T21" i="1"/>
  <c r="F97" i="1"/>
  <c r="AD97" i="1"/>
  <c r="F93" i="1"/>
  <c r="AD93" i="1"/>
  <c r="T25" i="1"/>
  <c r="T7" i="1"/>
  <c r="S29" i="1"/>
  <c r="T29" i="1"/>
  <c r="T12" i="1"/>
  <c r="T16" i="1"/>
  <c r="T20" i="1"/>
  <c r="G19" i="6"/>
  <c r="G16" i="6"/>
  <c r="G4" i="6"/>
  <c r="E43" i="22"/>
  <c r="T43" i="22"/>
  <c r="G8" i="6"/>
  <c r="G13" i="6"/>
  <c r="G5" i="6"/>
  <c r="G9" i="6"/>
  <c r="G15" i="6"/>
  <c r="G7" i="6"/>
  <c r="G12" i="6"/>
  <c r="D4" i="1"/>
  <c r="T5" i="1"/>
  <c r="S28" i="1"/>
  <c r="T28" i="1"/>
  <c r="AD113" i="1"/>
  <c r="S30" i="1"/>
  <c r="T30" i="1"/>
  <c r="S4" i="1"/>
  <c r="T4" i="1"/>
  <c r="S8" i="1"/>
  <c r="T8" i="1"/>
  <c r="S11" i="1"/>
  <c r="T11" i="1"/>
  <c r="S15" i="1"/>
  <c r="T15" i="1"/>
  <c r="S19" i="1"/>
  <c r="T19" i="1"/>
  <c r="S23" i="1"/>
  <c r="T23" i="1"/>
  <c r="S31" i="1"/>
  <c r="T31" i="1"/>
  <c r="AD114" i="1"/>
  <c r="I15" i="5"/>
  <c r="H5" i="5"/>
  <c r="F59" i="22"/>
  <c r="AD59" i="22"/>
  <c r="H8" i="5"/>
  <c r="F61" i="22"/>
  <c r="AD61" i="22"/>
  <c r="H10" i="5"/>
  <c r="F63" i="22"/>
  <c r="AD63" i="22"/>
  <c r="H12" i="5"/>
  <c r="F65" i="22"/>
  <c r="AD65" i="22"/>
  <c r="H14" i="5"/>
  <c r="F67" i="22"/>
  <c r="AD67" i="22"/>
  <c r="H16" i="5"/>
  <c r="F77" i="22"/>
  <c r="AD77" i="22"/>
  <c r="H18" i="5"/>
  <c r="F70" i="22"/>
  <c r="AD70" i="22"/>
  <c r="H20" i="5"/>
  <c r="F78" i="22"/>
  <c r="AD78" i="22"/>
  <c r="H22" i="5"/>
  <c r="H24" i="5"/>
  <c r="F79" i="22"/>
  <c r="AD79" i="22"/>
  <c r="H26" i="5"/>
  <c r="H28" i="5"/>
  <c r="F73" i="22"/>
  <c r="AD73" i="22"/>
  <c r="H32" i="5"/>
  <c r="F68" i="22"/>
  <c r="AD68" i="22"/>
  <c r="I31" i="5"/>
  <c r="H7" i="5"/>
  <c r="F60" i="22"/>
  <c r="AD60" i="22"/>
  <c r="H9" i="5"/>
  <c r="F62" i="22"/>
  <c r="AD62" i="22"/>
  <c r="H11" i="5"/>
  <c r="F64" i="22"/>
  <c r="AD64" i="22"/>
  <c r="H13" i="5"/>
  <c r="F66" i="22"/>
  <c r="AD66" i="22"/>
  <c r="H17" i="5"/>
  <c r="F69" i="22"/>
  <c r="AD69" i="22"/>
  <c r="H19" i="5"/>
  <c r="F71" i="22"/>
  <c r="AD71" i="22"/>
  <c r="H21" i="5"/>
  <c r="H23" i="5"/>
  <c r="F72" i="22"/>
  <c r="AD72" i="22"/>
  <c r="H25" i="5"/>
  <c r="H27" i="5"/>
  <c r="H29" i="5"/>
  <c r="F74" i="22"/>
  <c r="AD74" i="22"/>
  <c r="I22" i="5"/>
  <c r="AD112" i="1"/>
  <c r="T24" i="1"/>
  <c r="T27" i="1"/>
  <c r="T26" i="1"/>
  <c r="D26" i="11"/>
  <c r="G17" i="6"/>
  <c r="G18" i="6"/>
  <c r="G10" i="6"/>
  <c r="G14" i="6"/>
  <c r="U37" i="1"/>
  <c r="V37" i="1"/>
  <c r="AI17" i="1"/>
  <c r="W25" i="22"/>
  <c r="X25" i="22"/>
  <c r="F25" i="22"/>
  <c r="AD25" i="22"/>
  <c r="W37" i="1"/>
  <c r="W27" i="22"/>
  <c r="X27" i="22"/>
  <c r="F27" i="22"/>
  <c r="AD27" i="22"/>
  <c r="I28" i="5"/>
  <c r="E59" i="1"/>
  <c r="T59" i="1"/>
  <c r="E47" i="22"/>
  <c r="T47" i="22"/>
  <c r="E68" i="1"/>
  <c r="T68" i="1"/>
  <c r="E56" i="22"/>
  <c r="T56" i="22"/>
  <c r="E62" i="1"/>
  <c r="T62" i="1"/>
  <c r="E50" i="22"/>
  <c r="T50" i="22"/>
  <c r="E66" i="1"/>
  <c r="T66" i="1"/>
  <c r="E54" i="22"/>
  <c r="T54" i="22"/>
  <c r="E64" i="1"/>
  <c r="T64" i="1"/>
  <c r="E52" i="22"/>
  <c r="T52" i="22"/>
  <c r="E61" i="1"/>
  <c r="T61" i="1"/>
  <c r="E49" i="22"/>
  <c r="T49" i="22"/>
  <c r="E67" i="1"/>
  <c r="T67" i="1"/>
  <c r="E55" i="22"/>
  <c r="T55" i="22"/>
  <c r="E57" i="1"/>
  <c r="T57" i="1"/>
  <c r="E45" i="22"/>
  <c r="T45" i="22"/>
  <c r="E69" i="1"/>
  <c r="T69" i="1"/>
  <c r="E57" i="22"/>
  <c r="T57" i="22"/>
  <c r="E60" i="1"/>
  <c r="T60" i="1"/>
  <c r="E48" i="22"/>
  <c r="T48" i="22"/>
  <c r="E63" i="1"/>
  <c r="T63" i="1"/>
  <c r="E51" i="22"/>
  <c r="T51" i="22"/>
  <c r="E56" i="1"/>
  <c r="T56" i="1"/>
  <c r="E44" i="22"/>
  <c r="T44" i="22"/>
  <c r="E46" i="22"/>
  <c r="T46" i="22"/>
  <c r="E53" i="22"/>
  <c r="T53" i="22"/>
  <c r="U43" i="22"/>
  <c r="E65" i="1"/>
  <c r="T65" i="1"/>
  <c r="E58" i="1"/>
  <c r="T58" i="1"/>
  <c r="W41" i="22"/>
  <c r="X41" i="22"/>
  <c r="F41" i="22"/>
  <c r="AD41" i="22"/>
  <c r="W37" i="22"/>
  <c r="X37" i="22"/>
  <c r="F37" i="22"/>
  <c r="AD37" i="22"/>
  <c r="W34" i="22"/>
  <c r="X34" i="22"/>
  <c r="AD34" i="22"/>
  <c r="W38" i="22"/>
  <c r="X38" i="22"/>
  <c r="F38" i="22"/>
  <c r="AD38" i="22"/>
  <c r="W39" i="22"/>
  <c r="X39" i="22"/>
  <c r="F39" i="22"/>
  <c r="AD39" i="22"/>
  <c r="W40" i="22"/>
  <c r="X40" i="22"/>
  <c r="F40" i="22"/>
  <c r="AD40" i="22"/>
  <c r="W36" i="22"/>
  <c r="X36" i="22"/>
  <c r="F36" i="22"/>
  <c r="AD36" i="22"/>
  <c r="W35" i="22"/>
  <c r="X35" i="22"/>
  <c r="F35" i="22"/>
  <c r="AD35" i="22"/>
  <c r="W42" i="22"/>
  <c r="X42" i="22"/>
  <c r="F42" i="22"/>
  <c r="AD42" i="22"/>
  <c r="AB33" i="22"/>
  <c r="X33" i="22"/>
  <c r="X4" i="22"/>
  <c r="AB23" i="22"/>
  <c r="W28" i="22"/>
  <c r="W31" i="22"/>
  <c r="X31" i="22"/>
  <c r="F31" i="22"/>
  <c r="W29" i="22"/>
  <c r="X29" i="22"/>
  <c r="F29" i="22"/>
  <c r="AD29" i="22"/>
  <c r="W30" i="22"/>
  <c r="X30" i="22"/>
  <c r="F30" i="22"/>
  <c r="AD30" i="22"/>
  <c r="X24" i="22"/>
  <c r="V26" i="22"/>
  <c r="W26" i="22"/>
  <c r="X26" i="22"/>
  <c r="F26" i="22"/>
  <c r="AD26" i="22"/>
  <c r="I40" i="5"/>
  <c r="F105" i="1"/>
  <c r="AD105" i="1"/>
  <c r="F81" i="22"/>
  <c r="AD81" i="22"/>
  <c r="I33" i="5"/>
  <c r="F98" i="1"/>
  <c r="AD98" i="1"/>
  <c r="I39" i="5"/>
  <c r="F104" i="1"/>
  <c r="AD104" i="1"/>
  <c r="F84" i="22"/>
  <c r="AD84" i="22"/>
  <c r="I37" i="5"/>
  <c r="F102" i="1"/>
  <c r="AD102" i="1"/>
  <c r="I14" i="5"/>
  <c r="F103" i="1"/>
  <c r="AD103" i="1"/>
  <c r="I38" i="5"/>
  <c r="I35" i="5"/>
  <c r="F100" i="1"/>
  <c r="AD100" i="1"/>
  <c r="F83" i="22"/>
  <c r="AD83" i="22"/>
  <c r="F101" i="1"/>
  <c r="AD101" i="1"/>
  <c r="I36" i="5"/>
  <c r="F82" i="22"/>
  <c r="AD82" i="22"/>
  <c r="I34" i="5"/>
  <c r="F99" i="1"/>
  <c r="AD99" i="1"/>
  <c r="I17" i="5"/>
  <c r="F81" i="1"/>
  <c r="AD81" i="1"/>
  <c r="I29" i="5"/>
  <c r="F88" i="1"/>
  <c r="AD88" i="1"/>
  <c r="I21" i="5"/>
  <c r="F90" i="1"/>
  <c r="AD90" i="1"/>
  <c r="I11" i="5"/>
  <c r="F76" i="1"/>
  <c r="AD76" i="1"/>
  <c r="I32" i="5"/>
  <c r="F80" i="1"/>
  <c r="AD80" i="1"/>
  <c r="I24" i="5"/>
  <c r="F96" i="1"/>
  <c r="AD96" i="1"/>
  <c r="I16" i="5"/>
  <c r="F94" i="1"/>
  <c r="AD94" i="1"/>
  <c r="I8" i="5"/>
  <c r="F73" i="1"/>
  <c r="AD73" i="1"/>
  <c r="I27" i="5"/>
  <c r="F85" i="1"/>
  <c r="AD85" i="1"/>
  <c r="I19" i="5"/>
  <c r="F83" i="1"/>
  <c r="AD83" i="1"/>
  <c r="I9" i="5"/>
  <c r="F74" i="1"/>
  <c r="AD74" i="1"/>
  <c r="I30" i="5"/>
  <c r="F89" i="1"/>
  <c r="AD89" i="1"/>
  <c r="F91" i="1"/>
  <c r="AD91" i="1"/>
  <c r="F79" i="1"/>
  <c r="AD79" i="1"/>
  <c r="F71" i="1"/>
  <c r="AD71" i="1"/>
  <c r="I25" i="5"/>
  <c r="F84" i="1"/>
  <c r="AD84" i="1"/>
  <c r="I7" i="5"/>
  <c r="F72" i="1"/>
  <c r="AD72" i="1"/>
  <c r="F87" i="1"/>
  <c r="AD87" i="1"/>
  <c r="I20" i="5"/>
  <c r="F95" i="1"/>
  <c r="AD95" i="1"/>
  <c r="I12" i="5"/>
  <c r="F77" i="1"/>
  <c r="AD77" i="1"/>
  <c r="I23" i="5"/>
  <c r="F86" i="1"/>
  <c r="AD86" i="1"/>
  <c r="I13" i="5"/>
  <c r="F78" i="1"/>
  <c r="AD78" i="1"/>
  <c r="I26" i="5"/>
  <c r="F92" i="1"/>
  <c r="AD92" i="1"/>
  <c r="I18" i="5"/>
  <c r="F82" i="1"/>
  <c r="AD82" i="1"/>
  <c r="I10" i="5"/>
  <c r="F75" i="1"/>
  <c r="AD75" i="1"/>
  <c r="AI18" i="1"/>
  <c r="E55" i="1"/>
  <c r="T55" i="1"/>
  <c r="G20" i="6"/>
  <c r="AI19" i="1"/>
  <c r="U4" i="1"/>
  <c r="V13" i="1"/>
  <c r="W13" i="1"/>
  <c r="X13" i="1"/>
  <c r="F13" i="1"/>
  <c r="AD13" i="1"/>
  <c r="U28" i="1"/>
  <c r="V29" i="1"/>
  <c r="W29" i="1"/>
  <c r="X29" i="1"/>
  <c r="F29" i="1"/>
  <c r="AD29" i="1"/>
  <c r="U24" i="1"/>
  <c r="V25" i="1"/>
  <c r="W25" i="1"/>
  <c r="X25" i="1"/>
  <c r="F25" i="1"/>
  <c r="AD25" i="1"/>
  <c r="AB37" i="1"/>
  <c r="X37" i="1"/>
  <c r="AF105" i="1"/>
  <c r="V56" i="22"/>
  <c r="W56" i="22"/>
  <c r="X56" i="22"/>
  <c r="F56" i="22"/>
  <c r="AD56" i="22"/>
  <c r="V58" i="22"/>
  <c r="W58" i="22"/>
  <c r="X58" i="22"/>
  <c r="F58" i="22"/>
  <c r="F98" i="22"/>
  <c r="V43" i="22"/>
  <c r="W43" i="22"/>
  <c r="X43" i="22"/>
  <c r="V51" i="22"/>
  <c r="W51" i="22"/>
  <c r="X51" i="22"/>
  <c r="F51" i="22"/>
  <c r="AD51" i="22"/>
  <c r="V55" i="22"/>
  <c r="W55" i="22"/>
  <c r="X55" i="22"/>
  <c r="F55" i="22"/>
  <c r="AD55" i="22"/>
  <c r="V54" i="22"/>
  <c r="W54" i="22"/>
  <c r="X54" i="22"/>
  <c r="F54" i="22"/>
  <c r="AD54" i="22"/>
  <c r="U55" i="1"/>
  <c r="V64" i="1"/>
  <c r="W64" i="1"/>
  <c r="X64" i="1"/>
  <c r="F64" i="1"/>
  <c r="AD64" i="1"/>
  <c r="V46" i="22"/>
  <c r="W46" i="22"/>
  <c r="X46" i="22"/>
  <c r="F46" i="22"/>
  <c r="AD46" i="22"/>
  <c r="V49" i="22"/>
  <c r="W49" i="22"/>
  <c r="X49" i="22"/>
  <c r="F49" i="22"/>
  <c r="AD49" i="22"/>
  <c r="V53" i="22"/>
  <c r="W53" i="22"/>
  <c r="X53" i="22"/>
  <c r="F53" i="22"/>
  <c r="AD53" i="22"/>
  <c r="V48" i="22"/>
  <c r="W48" i="22"/>
  <c r="X48" i="22"/>
  <c r="F48" i="22"/>
  <c r="AD48" i="22"/>
  <c r="V50" i="22"/>
  <c r="W50" i="22"/>
  <c r="X50" i="22"/>
  <c r="F50" i="22"/>
  <c r="AD50" i="22"/>
  <c r="V57" i="22"/>
  <c r="W57" i="22"/>
  <c r="X57" i="22"/>
  <c r="F57" i="22"/>
  <c r="AD57" i="22"/>
  <c r="V44" i="22"/>
  <c r="W44" i="22"/>
  <c r="X44" i="22"/>
  <c r="F44" i="22"/>
  <c r="AD44" i="22"/>
  <c r="V45" i="22"/>
  <c r="W45" i="22"/>
  <c r="X45" i="22"/>
  <c r="F45" i="22"/>
  <c r="AD45" i="22"/>
  <c r="V52" i="22"/>
  <c r="W52" i="22"/>
  <c r="X52" i="22"/>
  <c r="F52" i="22"/>
  <c r="AD52" i="22"/>
  <c r="V47" i="22"/>
  <c r="W47" i="22"/>
  <c r="X47" i="22"/>
  <c r="F47" i="22"/>
  <c r="AD47" i="22"/>
  <c r="AD31" i="22"/>
  <c r="F87" i="22"/>
  <c r="X28" i="22"/>
  <c r="AB31" i="22"/>
  <c r="AD58" i="22"/>
  <c r="F96" i="22"/>
  <c r="Z23" i="22"/>
  <c r="F4" i="22"/>
  <c r="AD4" i="22"/>
  <c r="AE23" i="22"/>
  <c r="Z33" i="22"/>
  <c r="F33" i="22"/>
  <c r="AD33" i="22"/>
  <c r="AF33" i="22"/>
  <c r="Z27" i="22"/>
  <c r="F94" i="22"/>
  <c r="F24" i="22"/>
  <c r="AD24" i="22"/>
  <c r="AB27" i="22"/>
  <c r="V22" i="1"/>
  <c r="W22" i="1"/>
  <c r="X22" i="1"/>
  <c r="F22" i="1"/>
  <c r="AD22" i="1"/>
  <c r="V15" i="1"/>
  <c r="W15" i="1"/>
  <c r="X15" i="1"/>
  <c r="F15" i="1"/>
  <c r="AD15" i="1"/>
  <c r="V26" i="1"/>
  <c r="W26" i="1"/>
  <c r="X26" i="1"/>
  <c r="F26" i="1"/>
  <c r="AD26" i="1"/>
  <c r="V18" i="1"/>
  <c r="W18" i="1"/>
  <c r="X18" i="1"/>
  <c r="F18" i="1"/>
  <c r="AD18" i="1"/>
  <c r="V9" i="1"/>
  <c r="W9" i="1"/>
  <c r="X9" i="1"/>
  <c r="F9" i="1"/>
  <c r="AD9" i="1"/>
  <c r="V21" i="1"/>
  <c r="W21" i="1"/>
  <c r="X21" i="1"/>
  <c r="F21" i="1"/>
  <c r="AD21" i="1"/>
  <c r="V10" i="1"/>
  <c r="W10" i="1"/>
  <c r="X10" i="1"/>
  <c r="F10" i="1"/>
  <c r="AD10" i="1"/>
  <c r="V16" i="1"/>
  <c r="W16" i="1"/>
  <c r="X16" i="1"/>
  <c r="F16" i="1"/>
  <c r="AD16" i="1"/>
  <c r="V4" i="1"/>
  <c r="W4" i="1"/>
  <c r="X4" i="1"/>
  <c r="V7" i="1"/>
  <c r="W7" i="1"/>
  <c r="X7" i="1"/>
  <c r="F7" i="1"/>
  <c r="AD7" i="1"/>
  <c r="V11" i="1"/>
  <c r="W11" i="1"/>
  <c r="X11" i="1"/>
  <c r="F11" i="1"/>
  <c r="AD11" i="1"/>
  <c r="V17" i="1"/>
  <c r="W17" i="1"/>
  <c r="X17" i="1"/>
  <c r="F17" i="1"/>
  <c r="AD17" i="1"/>
  <c r="V20" i="1"/>
  <c r="W20" i="1"/>
  <c r="X20" i="1"/>
  <c r="F20" i="1"/>
  <c r="AD20" i="1"/>
  <c r="V5" i="1"/>
  <c r="W5" i="1"/>
  <c r="X5" i="1"/>
  <c r="F5" i="1"/>
  <c r="AD5" i="1"/>
  <c r="V8" i="1"/>
  <c r="W8" i="1"/>
  <c r="X8" i="1"/>
  <c r="F8" i="1"/>
  <c r="AD8" i="1"/>
  <c r="V12" i="1"/>
  <c r="W12" i="1"/>
  <c r="X12" i="1"/>
  <c r="F12" i="1"/>
  <c r="AD12" i="1"/>
  <c r="V6" i="1"/>
  <c r="W6" i="1"/>
  <c r="X6" i="1"/>
  <c r="F6" i="1"/>
  <c r="AD6" i="1"/>
  <c r="I41" i="5"/>
  <c r="V30" i="1"/>
  <c r="W30" i="1"/>
  <c r="X30" i="1"/>
  <c r="F30" i="1"/>
  <c r="AD30" i="1"/>
  <c r="V31" i="1"/>
  <c r="W31" i="1"/>
  <c r="X31" i="1"/>
  <c r="F31" i="1"/>
  <c r="F108" i="1"/>
  <c r="V24" i="1"/>
  <c r="W24" i="1"/>
  <c r="X24" i="1"/>
  <c r="F24" i="1"/>
  <c r="V14" i="1"/>
  <c r="W14" i="1"/>
  <c r="X14" i="1"/>
  <c r="F14" i="1"/>
  <c r="AD14" i="1"/>
  <c r="V19" i="1"/>
  <c r="W19" i="1"/>
  <c r="X19" i="1"/>
  <c r="F19" i="1"/>
  <c r="AD19" i="1"/>
  <c r="V28" i="1"/>
  <c r="W28" i="1"/>
  <c r="V68" i="1"/>
  <c r="W68" i="1"/>
  <c r="X68" i="1"/>
  <c r="F68" i="1"/>
  <c r="AD68" i="1"/>
  <c r="V65" i="1"/>
  <c r="W65" i="1"/>
  <c r="X65" i="1"/>
  <c r="F65" i="1"/>
  <c r="AD65" i="1"/>
  <c r="V69" i="1"/>
  <c r="W69" i="1"/>
  <c r="X69" i="1"/>
  <c r="F69" i="1"/>
  <c r="AD69" i="1"/>
  <c r="V62" i="1"/>
  <c r="W62" i="1"/>
  <c r="X62" i="1"/>
  <c r="F62" i="1"/>
  <c r="AD62" i="1"/>
  <c r="V70" i="1"/>
  <c r="W70" i="1"/>
  <c r="X70" i="1"/>
  <c r="F70" i="1"/>
  <c r="F119" i="1"/>
  <c r="V58" i="1"/>
  <c r="W58" i="1"/>
  <c r="X58" i="1"/>
  <c r="F58" i="1"/>
  <c r="AD58" i="1"/>
  <c r="V55" i="1"/>
  <c r="W55" i="1"/>
  <c r="V56" i="1"/>
  <c r="W56" i="1"/>
  <c r="X56" i="1"/>
  <c r="F56" i="1"/>
  <c r="AD56" i="1"/>
  <c r="V57" i="1"/>
  <c r="W57" i="1"/>
  <c r="X57" i="1"/>
  <c r="F57" i="1"/>
  <c r="AD57" i="1"/>
  <c r="V59" i="1"/>
  <c r="W59" i="1"/>
  <c r="X59" i="1"/>
  <c r="F59" i="1"/>
  <c r="AD59" i="1"/>
  <c r="V63" i="1"/>
  <c r="W63" i="1"/>
  <c r="X63" i="1"/>
  <c r="F63" i="1"/>
  <c r="AD63" i="1"/>
  <c r="V66" i="1"/>
  <c r="W66" i="1"/>
  <c r="X66" i="1"/>
  <c r="F66" i="1"/>
  <c r="AD66" i="1"/>
  <c r="V67" i="1"/>
  <c r="W67" i="1"/>
  <c r="X67" i="1"/>
  <c r="F67" i="1"/>
  <c r="AD67" i="1"/>
  <c r="V60" i="1"/>
  <c r="W60" i="1"/>
  <c r="X60" i="1"/>
  <c r="F60" i="1"/>
  <c r="AD60" i="1"/>
  <c r="V61" i="1"/>
  <c r="W61" i="1"/>
  <c r="X61" i="1"/>
  <c r="F61" i="1"/>
  <c r="AD61" i="1"/>
  <c r="V23" i="1"/>
  <c r="W23" i="1"/>
  <c r="X23" i="1"/>
  <c r="F23" i="1"/>
  <c r="AD23" i="1"/>
  <c r="V27" i="1"/>
  <c r="W27" i="1"/>
  <c r="X27" i="1"/>
  <c r="F27" i="1"/>
  <c r="AD27" i="1"/>
  <c r="V33" i="1"/>
  <c r="W33" i="1"/>
  <c r="X33" i="1"/>
  <c r="F33" i="1"/>
  <c r="AD33" i="1"/>
  <c r="V35" i="1"/>
  <c r="W35" i="1"/>
  <c r="X35" i="1"/>
  <c r="F35" i="1"/>
  <c r="AD35" i="1"/>
  <c r="V36" i="1"/>
  <c r="W36" i="1"/>
  <c r="X36" i="1"/>
  <c r="F36" i="1"/>
  <c r="AD36" i="1"/>
  <c r="F4" i="1"/>
  <c r="V34" i="1"/>
  <c r="W34" i="1"/>
  <c r="X34" i="1"/>
  <c r="F34" i="1"/>
  <c r="AD34" i="1"/>
  <c r="F37" i="1"/>
  <c r="AD37" i="1"/>
  <c r="AF37" i="1"/>
  <c r="Z37" i="1"/>
  <c r="AB58" i="22"/>
  <c r="Z31" i="22"/>
  <c r="F95" i="22"/>
  <c r="AD95" i="22"/>
  <c r="F28" i="22"/>
  <c r="AD28" i="22"/>
  <c r="AE31" i="22"/>
  <c r="AD96" i="22"/>
  <c r="AF23" i="22"/>
  <c r="F88" i="22"/>
  <c r="Z58" i="22"/>
  <c r="F43" i="22"/>
  <c r="AD43" i="22"/>
  <c r="AF58" i="22"/>
  <c r="AE27" i="22"/>
  <c r="AD94" i="22"/>
  <c r="F97" i="22"/>
  <c r="AB31" i="1"/>
  <c r="AD4" i="1"/>
  <c r="X28" i="1"/>
  <c r="Z31" i="1"/>
  <c r="F116" i="1"/>
  <c r="Z23" i="1"/>
  <c r="AD24" i="1"/>
  <c r="AE27" i="1"/>
  <c r="AD31" i="1"/>
  <c r="AB23" i="1"/>
  <c r="F117" i="1"/>
  <c r="F109" i="1"/>
  <c r="AD70" i="1"/>
  <c r="AB70" i="1"/>
  <c r="X55" i="1"/>
  <c r="Z70" i="1"/>
  <c r="AB27" i="1"/>
  <c r="Z27" i="1"/>
  <c r="F115" i="1"/>
  <c r="AD115" i="1"/>
  <c r="AB36" i="1"/>
  <c r="AE23" i="1"/>
  <c r="AD117" i="1"/>
  <c r="AI13" i="22"/>
  <c r="AI12" i="22"/>
  <c r="AI14" i="22"/>
  <c r="AF31" i="22"/>
  <c r="AF27" i="22"/>
  <c r="AJ12" i="22"/>
  <c r="F28" i="1"/>
  <c r="AD28" i="1"/>
  <c r="AE31" i="1"/>
  <c r="AF27" i="1"/>
  <c r="F103" i="22"/>
  <c r="F104" i="22"/>
  <c r="AF23" i="1"/>
  <c r="F55" i="1"/>
  <c r="AD55" i="1"/>
  <c r="AF70" i="1"/>
  <c r="AD32" i="1"/>
  <c r="Z36" i="1"/>
  <c r="F118" i="1"/>
  <c r="AD116" i="1"/>
  <c r="AI13" i="1"/>
  <c r="AF31" i="1"/>
  <c r="AF36" i="1"/>
  <c r="D14" i="3"/>
  <c r="D16" i="3"/>
  <c r="D26" i="3"/>
  <c r="D46" i="3"/>
  <c r="E51" i="1"/>
  <c r="D17" i="3"/>
  <c r="D13" i="3"/>
  <c r="D15" i="3"/>
  <c r="B9" i="3"/>
  <c r="C8" i="3"/>
  <c r="D8" i="3"/>
  <c r="C7" i="3"/>
  <c r="D7" i="3"/>
  <c r="C6" i="3"/>
  <c r="D19" i="3"/>
  <c r="T51" i="1"/>
  <c r="D23" i="3"/>
  <c r="C23" i="3"/>
  <c r="C9" i="3"/>
  <c r="D9" i="3"/>
  <c r="D27" i="3"/>
  <c r="D47" i="3"/>
  <c r="E52" i="1"/>
  <c r="C27" i="3"/>
  <c r="D42" i="3"/>
  <c r="E47" i="1"/>
  <c r="D24" i="3"/>
  <c r="C24" i="3"/>
  <c r="D39" i="3"/>
  <c r="E44" i="1"/>
  <c r="D25" i="3"/>
  <c r="D45" i="3"/>
  <c r="E50" i="1"/>
  <c r="C25" i="3"/>
  <c r="D40" i="3"/>
  <c r="E45" i="1"/>
  <c r="C26" i="3"/>
  <c r="D41" i="3"/>
  <c r="E46" i="1"/>
  <c r="D6" i="3"/>
  <c r="B23" i="3"/>
  <c r="B24" i="3"/>
  <c r="D34" i="3"/>
  <c r="E39" i="1"/>
  <c r="B25" i="3"/>
  <c r="D35" i="3"/>
  <c r="E40" i="1"/>
  <c r="B26" i="3"/>
  <c r="D36" i="3"/>
  <c r="E41" i="1"/>
  <c r="B27" i="3"/>
  <c r="D37" i="3"/>
  <c r="E42" i="1"/>
  <c r="D33" i="3"/>
  <c r="B29" i="3"/>
  <c r="D38" i="3"/>
  <c r="E43" i="1"/>
  <c r="T43" i="1"/>
  <c r="C29" i="3"/>
  <c r="D43" i="3"/>
  <c r="E48" i="1"/>
  <c r="T48" i="1"/>
  <c r="D29" i="3"/>
  <c r="T40" i="1"/>
  <c r="T39" i="1"/>
  <c r="T47" i="1"/>
  <c r="T46" i="1"/>
  <c r="T42" i="1"/>
  <c r="T50" i="1"/>
  <c r="T52" i="1"/>
  <c r="T45" i="1"/>
  <c r="T41" i="1"/>
  <c r="T44" i="1"/>
  <c r="D44" i="3"/>
  <c r="E49" i="1"/>
  <c r="E24" i="3"/>
  <c r="E27" i="3"/>
  <c r="E26" i="3"/>
  <c r="E25" i="3"/>
  <c r="E23" i="3"/>
  <c r="E29" i="3"/>
  <c r="D50" i="3"/>
  <c r="E38" i="1"/>
  <c r="T38" i="1"/>
  <c r="T49" i="1"/>
  <c r="U38" i="1"/>
  <c r="F29" i="3"/>
  <c r="V43" i="1"/>
  <c r="W43" i="1"/>
  <c r="X43" i="1"/>
  <c r="F43" i="1"/>
  <c r="AD43" i="1"/>
  <c r="V53" i="1"/>
  <c r="W53" i="1"/>
  <c r="X53" i="1"/>
  <c r="F53" i="1"/>
  <c r="AD53" i="1"/>
  <c r="V54" i="1"/>
  <c r="W54" i="1"/>
  <c r="X54" i="1"/>
  <c r="F54" i="1"/>
  <c r="V38" i="1"/>
  <c r="W38" i="1"/>
  <c r="X38" i="1"/>
  <c r="F38" i="1"/>
  <c r="AD38" i="1"/>
  <c r="V48" i="1"/>
  <c r="W48" i="1"/>
  <c r="X48" i="1"/>
  <c r="F48" i="1"/>
  <c r="AD48" i="1"/>
  <c r="V45" i="1"/>
  <c r="W45" i="1"/>
  <c r="X45" i="1"/>
  <c r="F45" i="1"/>
  <c r="AD45" i="1"/>
  <c r="V47" i="1"/>
  <c r="W47" i="1"/>
  <c r="X47" i="1"/>
  <c r="F47" i="1"/>
  <c r="AD47" i="1"/>
  <c r="V49" i="1"/>
  <c r="W49" i="1"/>
  <c r="X49" i="1"/>
  <c r="F49" i="1"/>
  <c r="AD49" i="1"/>
  <c r="V50" i="1"/>
  <c r="W50" i="1"/>
  <c r="X50" i="1"/>
  <c r="F50" i="1"/>
  <c r="AD50" i="1"/>
  <c r="V40" i="1"/>
  <c r="W40" i="1"/>
  <c r="X40" i="1"/>
  <c r="F40" i="1"/>
  <c r="AD40" i="1"/>
  <c r="V42" i="1"/>
  <c r="W42" i="1"/>
  <c r="X42" i="1"/>
  <c r="F42" i="1"/>
  <c r="AD42" i="1"/>
  <c r="V44" i="1"/>
  <c r="W44" i="1"/>
  <c r="X44" i="1"/>
  <c r="F44" i="1"/>
  <c r="AD44" i="1"/>
  <c r="V46" i="1"/>
  <c r="W46" i="1"/>
  <c r="X46" i="1"/>
  <c r="F46" i="1"/>
  <c r="AD46" i="1"/>
  <c r="V52" i="1"/>
  <c r="W52" i="1"/>
  <c r="X52" i="1"/>
  <c r="F52" i="1"/>
  <c r="AD52" i="1"/>
  <c r="V41" i="1"/>
  <c r="W41" i="1"/>
  <c r="X41" i="1"/>
  <c r="F41" i="1"/>
  <c r="AD41" i="1"/>
  <c r="V51" i="1"/>
  <c r="W51" i="1"/>
  <c r="X51" i="1"/>
  <c r="F51" i="1"/>
  <c r="AD51" i="1"/>
  <c r="V39" i="1"/>
  <c r="W39" i="1"/>
  <c r="AB54" i="1"/>
  <c r="X39" i="1"/>
  <c r="Z54" i="1"/>
  <c r="F39" i="1"/>
  <c r="AD39" i="1"/>
  <c r="AF54" i="1"/>
  <c r="AJ12" i="1"/>
  <c r="AI12" i="1"/>
  <c r="AI14" i="1"/>
</calcChain>
</file>

<file path=xl/sharedStrings.xml><?xml version="1.0" encoding="utf-8"?>
<sst xmlns="http://schemas.openxmlformats.org/spreadsheetml/2006/main" count="1800" uniqueCount="524">
  <si>
    <t>Lipid composition:</t>
  </si>
  <si>
    <t>Ref. value (%)</t>
  </si>
  <si>
    <t>Normalized Value</t>
  </si>
  <si>
    <t>Mol fraction:</t>
  </si>
  <si>
    <t>References</t>
  </si>
  <si>
    <t>Phosphatidylethanolamine (PE)</t>
  </si>
  <si>
    <t>(Rühl et al, 2012)</t>
  </si>
  <si>
    <t>Rühl et al, 2012</t>
  </si>
  <si>
    <t>Phosphatidylglycerol (PG)</t>
  </si>
  <si>
    <t>Cardiolipin (CL)</t>
  </si>
  <si>
    <t>Total</t>
  </si>
  <si>
    <t>Reference</t>
  </si>
  <si>
    <t>Acyl chain length composition</t>
  </si>
  <si>
    <t>Normalized value (%)</t>
  </si>
  <si>
    <t>Mol fraction</t>
  </si>
  <si>
    <t xml:space="preserve">   C14:0</t>
  </si>
  <si>
    <t xml:space="preserve">  C16:0</t>
  </si>
  <si>
    <t xml:space="preserve"> C16:1</t>
  </si>
  <si>
    <t>C18:1 (cis +trans)</t>
  </si>
  <si>
    <t>C18:0</t>
  </si>
  <si>
    <t>acyl-chain length abbrev.</t>
  </si>
  <si>
    <t>total</t>
  </si>
  <si>
    <t>pe140</t>
  </si>
  <si>
    <t>pe160</t>
  </si>
  <si>
    <t>pe161</t>
  </si>
  <si>
    <t>pe181</t>
  </si>
  <si>
    <t>pe180</t>
  </si>
  <si>
    <t>pg140</t>
  </si>
  <si>
    <t>pg160</t>
  </si>
  <si>
    <t>pg161</t>
  </si>
  <si>
    <t>pg181</t>
  </si>
  <si>
    <t>pg180</t>
  </si>
  <si>
    <t>clpn140</t>
  </si>
  <si>
    <t>clpn160</t>
  </si>
  <si>
    <t>clpn161</t>
  </si>
  <si>
    <t>clpn181</t>
  </si>
  <si>
    <t>clpn180</t>
  </si>
  <si>
    <t>Normalized Mol fraction</t>
  </si>
  <si>
    <t>Total:</t>
  </si>
  <si>
    <t>Notes</t>
  </si>
  <si>
    <t>Macromolecule</t>
  </si>
  <si>
    <t>overall wt%</t>
  </si>
  <si>
    <t>composition (molar fraction)</t>
  </si>
  <si>
    <t>mmol/gDW (Calc.)</t>
  </si>
  <si>
    <t>metabolite</t>
  </si>
  <si>
    <t>location</t>
  </si>
  <si>
    <t>type</t>
  </si>
  <si>
    <t>formula</t>
  </si>
  <si>
    <t>C</t>
  </si>
  <si>
    <t>H</t>
  </si>
  <si>
    <t>N</t>
  </si>
  <si>
    <t>O</t>
  </si>
  <si>
    <t>P</t>
  </si>
  <si>
    <t>S</t>
  </si>
  <si>
    <t>MW (mg/mmol)</t>
  </si>
  <si>
    <t>difference b/w metabolite and structual component</t>
  </si>
  <si>
    <t>MWcorr (mg/mmol)</t>
  </si>
  <si>
    <t>mg (if total 1 mmol)</t>
  </si>
  <si>
    <t>total wt (mg)</t>
  </si>
  <si>
    <t>composition (weight fraction)</t>
  </si>
  <si>
    <t>g/gDW</t>
  </si>
  <si>
    <t>mmol/gDW</t>
  </si>
  <si>
    <t>total mmols material</t>
  </si>
  <si>
    <t>class</t>
  </si>
  <si>
    <t>final wt%</t>
  </si>
  <si>
    <t>Reactants</t>
  </si>
  <si>
    <t>NH</t>
  </si>
  <si>
    <t>Neidhardt FC, Ingraham JL, Schaechter M (1990) Physiology of the bacterial cell : a molecular approach. Sinauer Associates, Sunderland, Mass.</t>
  </si>
  <si>
    <t>Protein</t>
  </si>
  <si>
    <t>ala-L</t>
  </si>
  <si>
    <t>cytoplasm</t>
  </si>
  <si>
    <t>AA</t>
  </si>
  <si>
    <t>C3H7NO2</t>
  </si>
  <si>
    <t>h2o</t>
  </si>
  <si>
    <t>arg-L</t>
  </si>
  <si>
    <t>C6H15N4O2</t>
  </si>
  <si>
    <t>asn-L</t>
  </si>
  <si>
    <t>C4H8N2O3</t>
  </si>
  <si>
    <t>asp-L</t>
  </si>
  <si>
    <t>C4H6NO4</t>
  </si>
  <si>
    <t>cys-L</t>
  </si>
  <si>
    <t>C3H7NO2S</t>
  </si>
  <si>
    <t>gln-L</t>
  </si>
  <si>
    <t>C5H10N2O3</t>
  </si>
  <si>
    <t>glu-L</t>
  </si>
  <si>
    <t>C5H8NO4</t>
  </si>
  <si>
    <t>gly</t>
  </si>
  <si>
    <t>C2H5NO2</t>
  </si>
  <si>
    <t>consistency check</t>
  </si>
  <si>
    <t>difference</t>
  </si>
  <si>
    <t>his-L</t>
  </si>
  <si>
    <t>C6H9N3O2</t>
  </si>
  <si>
    <t>reactants</t>
  </si>
  <si>
    <t>ile-L</t>
  </si>
  <si>
    <t>C6H13NO2</t>
  </si>
  <si>
    <t>products</t>
  </si>
  <si>
    <t>leu-L</t>
  </si>
  <si>
    <t>lys-L</t>
  </si>
  <si>
    <t>C6H15N2O2</t>
  </si>
  <si>
    <t>met-L</t>
  </si>
  <si>
    <t>C5H11NO2S</t>
  </si>
  <si>
    <t>maintenance</t>
  </si>
  <si>
    <t>phe-L</t>
  </si>
  <si>
    <t>C9H11NO2</t>
  </si>
  <si>
    <t>pro-L</t>
  </si>
  <si>
    <t>C5H9NO2</t>
  </si>
  <si>
    <t>ser-L</t>
  </si>
  <si>
    <t>C3H7NO3</t>
  </si>
  <si>
    <t>thr-L</t>
  </si>
  <si>
    <t>C4H9NO3</t>
  </si>
  <si>
    <t>trp-L</t>
  </si>
  <si>
    <t>C11H12N2O2</t>
  </si>
  <si>
    <t>tyr-L</t>
  </si>
  <si>
    <t>C9H11NO3</t>
  </si>
  <si>
    <t>val-L</t>
  </si>
  <si>
    <t>C5H11NO2</t>
  </si>
  <si>
    <t>DNA</t>
  </si>
  <si>
    <t>datp</t>
  </si>
  <si>
    <t>C10H12N5O12P3</t>
  </si>
  <si>
    <t>ppi</t>
  </si>
  <si>
    <t xml:space="preserve"> </t>
  </si>
  <si>
    <t>dctp</t>
  </si>
  <si>
    <t>C9H12N3O13P3</t>
  </si>
  <si>
    <t>dgtp</t>
  </si>
  <si>
    <t>C10H12N5O13P3</t>
  </si>
  <si>
    <t>dttp</t>
  </si>
  <si>
    <t>C10H13N2O14P3</t>
  </si>
  <si>
    <t>RNA</t>
  </si>
  <si>
    <t>ctp</t>
  </si>
  <si>
    <t>C9H12N3O14P3</t>
  </si>
  <si>
    <t>gtp</t>
  </si>
  <si>
    <t>C10H12N5O14P3</t>
  </si>
  <si>
    <t>utp</t>
  </si>
  <si>
    <t>C9H11N2O15P3</t>
  </si>
  <si>
    <t>atp**</t>
  </si>
  <si>
    <t>none</t>
  </si>
  <si>
    <t>murein</t>
  </si>
  <si>
    <t>murein4p4p</t>
  </si>
  <si>
    <t>periplasm</t>
  </si>
  <si>
    <t>C74H114N14O40</t>
  </si>
  <si>
    <t>murein3p3p</t>
  </si>
  <si>
    <t>C68H104N12O38</t>
  </si>
  <si>
    <t>murein4px4p</t>
  </si>
  <si>
    <t>C74H112N14O39</t>
  </si>
  <si>
    <t>murein3px4p</t>
  </si>
  <si>
    <t>C71H107N13O38</t>
  </si>
  <si>
    <t>murein4px4px4p</t>
  </si>
  <si>
    <t>C111H167N21O58</t>
  </si>
  <si>
    <t>LPS</t>
  </si>
  <si>
    <t>extra-cellular face</t>
  </si>
  <si>
    <t>lipid</t>
  </si>
  <si>
    <t>cytoplasm / periplasm</t>
  </si>
  <si>
    <t>C37H74N1O8P1</t>
  </si>
  <si>
    <t>C37H70N1O8P1</t>
  </si>
  <si>
    <t>C41H78N1O8P1</t>
  </si>
  <si>
    <t>C38H74O10P1</t>
  </si>
  <si>
    <t>C38H70O10P1</t>
  </si>
  <si>
    <t>C42H78O10P1</t>
  </si>
  <si>
    <t>C73H140O17P2</t>
  </si>
  <si>
    <t>C73H132O17P2</t>
  </si>
  <si>
    <t>C81H148O17P2</t>
  </si>
  <si>
    <t>inorganic ions</t>
  </si>
  <si>
    <t>k</t>
  </si>
  <si>
    <t>K</t>
  </si>
  <si>
    <t>nh4</t>
  </si>
  <si>
    <t>H4N</t>
  </si>
  <si>
    <t>mg2</t>
  </si>
  <si>
    <t>Mg</t>
  </si>
  <si>
    <t>ca2</t>
  </si>
  <si>
    <t>Ca</t>
  </si>
  <si>
    <t>fe2</t>
  </si>
  <si>
    <t>Fe</t>
  </si>
  <si>
    <t>fe3</t>
  </si>
  <si>
    <t>cu2</t>
  </si>
  <si>
    <t>Cu</t>
  </si>
  <si>
    <t>mn2</t>
  </si>
  <si>
    <t>Mn</t>
  </si>
  <si>
    <t>mobd</t>
  </si>
  <si>
    <t>MoO4</t>
  </si>
  <si>
    <t>cobalt2</t>
  </si>
  <si>
    <t>Co</t>
  </si>
  <si>
    <t>zn2</t>
  </si>
  <si>
    <t>Zn</t>
  </si>
  <si>
    <t>cl</t>
  </si>
  <si>
    <t>Cl</t>
  </si>
  <si>
    <t>so4</t>
  </si>
  <si>
    <t>O4S</t>
  </si>
  <si>
    <t>pi**</t>
  </si>
  <si>
    <t>HO4P</t>
  </si>
  <si>
    <t>soluble pool</t>
  </si>
  <si>
    <t>ptrc</t>
  </si>
  <si>
    <t>polyamine</t>
  </si>
  <si>
    <t>C4H14N2</t>
  </si>
  <si>
    <t>accoa</t>
  </si>
  <si>
    <t>cofactor</t>
  </si>
  <si>
    <t>C23H34N7O17P3S</t>
  </si>
  <si>
    <t>coa</t>
  </si>
  <si>
    <t>C21H32N7O16P3S</t>
  </si>
  <si>
    <t>succoa</t>
  </si>
  <si>
    <t>C25H35N7O19P3S</t>
  </si>
  <si>
    <t>malcoa</t>
  </si>
  <si>
    <t>C24H33N7O19P3S</t>
  </si>
  <si>
    <t>nad</t>
  </si>
  <si>
    <t>C21H26N7O14P2</t>
  </si>
  <si>
    <t>nadh</t>
  </si>
  <si>
    <t>C21H27N7O14P2</t>
  </si>
  <si>
    <t>nadp</t>
  </si>
  <si>
    <t>C21H25N7O17P3</t>
  </si>
  <si>
    <t>nadph</t>
  </si>
  <si>
    <t>C21H26N7O17P3</t>
  </si>
  <si>
    <t>fad</t>
  </si>
  <si>
    <t>C27H31N9O15P2</t>
  </si>
  <si>
    <t>thf</t>
  </si>
  <si>
    <t>C19H21N7O6</t>
  </si>
  <si>
    <t>mlthf</t>
  </si>
  <si>
    <t>C20H21N7O6</t>
  </si>
  <si>
    <t>5mthf</t>
  </si>
  <si>
    <t>C20H24N7O6</t>
  </si>
  <si>
    <t>thmpp</t>
  </si>
  <si>
    <t>C12H16N4O7P2S</t>
  </si>
  <si>
    <t>q8h2</t>
  </si>
  <si>
    <t>C49H76O4</t>
  </si>
  <si>
    <t>pydx5p</t>
  </si>
  <si>
    <t>C8H8NO6P</t>
  </si>
  <si>
    <t>hemeO</t>
  </si>
  <si>
    <t>C49H56FeN4O5</t>
  </si>
  <si>
    <t>pheme</t>
  </si>
  <si>
    <t>C39H30FeN4O4</t>
  </si>
  <si>
    <t>sheme</t>
  </si>
  <si>
    <t>C42H36FeN4O16</t>
  </si>
  <si>
    <t>C30H27N3O15</t>
  </si>
  <si>
    <t>gthrd</t>
  </si>
  <si>
    <t>C10H16N3O6S</t>
  </si>
  <si>
    <t>adocbl</t>
  </si>
  <si>
    <t>C72H100CoN18O17P</t>
  </si>
  <si>
    <t>udcpdp</t>
  </si>
  <si>
    <t>C55H89O7P2</t>
  </si>
  <si>
    <t>10fthf</t>
  </si>
  <si>
    <t>C20H21N7O7</t>
  </si>
  <si>
    <t>chor</t>
  </si>
  <si>
    <t>C10H8O6</t>
  </si>
  <si>
    <t>amet</t>
  </si>
  <si>
    <t>C15H23N6O5S</t>
  </si>
  <si>
    <t>ribflv</t>
  </si>
  <si>
    <t>C17H20N4O6</t>
  </si>
  <si>
    <t>maint</t>
  </si>
  <si>
    <t>C10H12N5O13P5</t>
  </si>
  <si>
    <t>h2o**</t>
  </si>
  <si>
    <t>H2O</t>
  </si>
  <si>
    <t>RNA / maint</t>
  </si>
  <si>
    <t>cyttoplasm</t>
  </si>
  <si>
    <t>AA difference / maint</t>
  </si>
  <si>
    <t xml:space="preserve">Products </t>
  </si>
  <si>
    <t>adp</t>
  </si>
  <si>
    <t>C10H12N5O10P2</t>
  </si>
  <si>
    <t>h</t>
  </si>
  <si>
    <t>sum of dNTPs</t>
  </si>
  <si>
    <t>ppi**</t>
  </si>
  <si>
    <t>HO7P2</t>
  </si>
  <si>
    <t>sum of NTPs</t>
  </si>
  <si>
    <t>sum of AA</t>
  </si>
  <si>
    <t>NT difference / dNT difference</t>
  </si>
  <si>
    <t>sum of NTPs and dNTPs</t>
  </si>
  <si>
    <t>maintenance / ions</t>
  </si>
  <si>
    <t>Maintenance</t>
  </si>
  <si>
    <t>GAM (biosynthetic + other) =</t>
  </si>
  <si>
    <t>biosynthetic costs =</t>
  </si>
  <si>
    <t>unknown GAM costs =</t>
  </si>
  <si>
    <t>WT BOF</t>
  </si>
  <si>
    <t>Abbreviation</t>
  </si>
  <si>
    <t>Equation</t>
  </si>
  <si>
    <t>Ec_biomass_iAF1260_WT_59p81M</t>
  </si>
  <si>
    <t xml:space="preserve">0.000223 10fthf[c] + 0.000223 2dmmql8[c] + 0.000223 5mthf[c] + 0.000279 accoa[c] + 0.000223 adocbl[c] + 0.499100 ala-L[c] + 0.000223 amet[c] + 0.287400 arg-L[c] + 0.234200 asn-L[c] + 0.234200 asp-L[c] + 59.980000 atp[c] + 0.004512 ca2[c] + 0.000223 chor[c] + 0.004512 cl[c] + 0.002944 clpn160[p] + 0.002290 clpn161[p] + 0.001180 clpn181[p] + 0.000168 coa[c] + 0.003008 cobalt2[c] + 0.008151 colipa[e] + 0.129800 ctp[c] + 0.003008 cu2[c] + 0.088990 cys-L[c] + 0.024810 datp[c] + 0.025610 dctp[c] + 0.025610 dgtp[c] + 0.024810 dttp[c] + 0.000223 enter[c] + 0.000223 fad[c] + 0.006767 fe2[c] + 0.006767 fe3[c] + 0.255700 gln-L[c] + 0.255700 glu-L[c] + 0.595300 gly[c] + 0.154200 glycogen[c] + 0.000223 gthrd[c] + 0.209100 gtp[c] + 54.613000 h2o[c] + 0.000223 hemeO[c] + 0.092100 his-L[c] + 0.282300 ile-L[c] + 0.169200 k[c] + 0.437800 leu-L[c] + 0.333400 lys-L[c] + 0.000031 malcoa[c] + 0.149300 met-L[c] + 0.007519 mg2[c] + 0.000223 mlthf[c] + 0.003008 mn2[c] + 0.003008 mobd[c] + 0.000223 mql8[c] + 0.001345 murein3p3p[p] + 0.000605 murein3px4p[p] + 0.005381 murein4p4p[p] + 0.005448 murein4px4p[p] + 0.000673 murein4px4px4p[p] + 0.001787 nad[c] + 0.000045 nadh[c] + 0.000112 nadp[c] + 0.000335 nadph[c] + 0.011280 nh4[c] + 0.012370 pe160[c] + 0.031800 pe160[p] + 0.009618 pe161[c] + 0.024730 pe161[p] + 0.004957 pe181[c] + 0.012750 pe181[p] + 0.005702 pg160[c] + 0.004897 pg160[p] + 0.004435 pg161[c] + 0.003809 pg161[p] + 0.002286 pg181[c] + 0.001963 pg181[p] + 0.180000 phe-L[c] + 0.000223 pheme[c] + 0.214800 pro-L[c] + 0.033270 ptrc[c] + 0.000223 pydx5p[c] + 0.000223 q8h2[c] + 0.000223 ribflv[c] + 0.209700 ser-L[c] + 0.000223 sheme[c] + 0.003760 so4[c] + 0.006744 spmd[c] + 0.000098 succoa[c] + 0.000223 thf[c] + 0.000223 thmpp[c] + 0.246500 thr-L[c] + 0.055230 trp-L[c] + 0.134000 tyr-L[c] + 0.000055 udcpdp[c] + 0.140100 utp[c] + 0.411900 val-L[c] + 0.003008 zn2[c] --&gt; 59.810000 adp[c] + 59.810000 h[c] + 58.806200 pi[c] + 0.749800 ppi[c] </t>
  </si>
  <si>
    <t xml:space="preserve">0.000223 10fthf[c] +  0.000223 5mthf[c] + 0.000279 accoa[c] + 0.000223 adocbl[c] + 0.499100 ala-L[c] + 0.000223 amet[c] + 0.287400 arg-L[c] + 0.234200 asn-L[c] + 0.234200 asp-L[c] + 59.980000 atp[c] + 0.004512 ca2[c] + 0.000223 chor[c] + 0.000168 coa[c] + 0.003008 cobalt2[c] + 0.129800 ctp[c] + 0.003008 cu2[c] + 0.088990 cys-L[c] + 0.024810 datp[c] + 0.025610 dctp[c] + 0.025610 dgtp[c] + 0.024810 dttp[c] + 0.000223 fad[c] + 0.006767 fe2[c] + 0.006767 fe3[c] + 0.255700 gln-L[c] + 0.255700 glu-L[c] + 0.595300 gly[c] + 0.154200 glycogen[c]  + 0.209100 gtp[c] + 54.613000 h2o[c] + 0.000223 hemeO[c] + 0.092100 his-L[c] + 0.282300 ile-L[c] + 0.169200 k[c] + 0.437800 leu-L[c] + 0.333400 lys-L[c] + 0.000031 malcoa[c] + 0.149300 met-L[c] + 0.007519 mg2[c] + 0.000223 mlthf[c] + 0.003008 mn2[c] + 0.003008 mobd[c] +  0.001787 nad[c] + 0.000045 nadh[c] + 0.000112 nadp[c] + 0.000335 nadph[c] + 0.011280 nh4[c] + 0.005702 pg160[c] + 0.004897 pg160[p] + 0.004435 pg161[c] + 0.003809 pg161[p] + 0.002286 pg181[c] + 0.001963 pg181[p] + 0.180000 phe-L[c] + 0.000223 pheme[c] + 0.214800 pro-L[c] + 0.033270 ptrc[c] + 0.000223 pydx5p[c] + 0.000223 q8h2[c] + 0.000223 ribflv[c] + 0.209700 ser-L[c] + 0.000223 sheme[c] + 0.003760 so4[c] + 0.006744 spmd[c] + 0.000098 succoa[c] + 0.000223 thf[c] + 0.246500 thr-L[c] + 0.055230 trp-L[c] + 0.134000 tyr-L[c] + 0.000055 udcpdp[c] + 0.140100 utp[c] + 0.411900 val-L[c] + 0.003008 zn2[c] --&gt; 59.810000 adp[c] + 59.810000 h[c] + 58.806200 pi[c] + 0.749800 ppi[c] </t>
  </si>
  <si>
    <t>NH2</t>
  </si>
  <si>
    <t>Neidhardt FC, Curtiss R (1996) Escherichia coli and Salmonella : cellular and molecular biology. ASM Press, Washington, D.C.</t>
  </si>
  <si>
    <t>molecules/cell</t>
  </si>
  <si>
    <t>mmol/L</t>
  </si>
  <si>
    <t>mg / gDW</t>
  </si>
  <si>
    <t>abbrev.</t>
  </si>
  <si>
    <t>g/mol</t>
  </si>
  <si>
    <t>Ployamines</t>
  </si>
  <si>
    <t>CCDB</t>
  </si>
  <si>
    <t>CyberCell Database (http://redpoll.pharmacy.ualberta.ca/CCDB/)</t>
  </si>
  <si>
    <t>NH2 - pg. 14</t>
  </si>
  <si>
    <t>Baba et al</t>
  </si>
  <si>
    <r>
      <t xml:space="preserve">Baba T, Ara T, Hasegawa M, Takai Y, Okumura Y, Baba M, Datsenko KA, Tomita M, Wanner BL, Mori H (2006) Construction of </t>
    </r>
    <r>
      <rPr>
        <i/>
        <sz val="10"/>
        <rFont val="Arial"/>
        <family val="2"/>
      </rPr>
      <t>Escherichia coli</t>
    </r>
    <r>
      <rPr>
        <sz val="10"/>
        <rFont val="Arial"/>
        <family val="2"/>
      </rPr>
      <t xml:space="preserve"> K-12 in-frame, single-gene knockout mutants: the Keio collection. </t>
    </r>
    <r>
      <rPr>
        <i/>
        <sz val="10"/>
        <rFont val="Arial"/>
        <family val="2"/>
      </rPr>
      <t>Mol Syst Biol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2:</t>
    </r>
    <r>
      <rPr>
        <sz val="10"/>
        <rFont val="Arial"/>
        <family val="2"/>
      </rPr>
      <t xml:space="preserve"> 2006.0008.</t>
    </r>
  </si>
  <si>
    <t>Vitamins and cofactors</t>
  </si>
  <si>
    <t>NH pg. 692 - average of values for different growth conditions</t>
  </si>
  <si>
    <t>NH pg. 721</t>
  </si>
  <si>
    <t>NH pg. 1028 - approximation from amount of lipid I and II in soluable pool</t>
  </si>
  <si>
    <t>Cell Property</t>
  </si>
  <si>
    <t>Value</t>
  </si>
  <si>
    <t>Avogadro's number</t>
  </si>
  <si>
    <t>Avearge Cell Aqueous Volume (L/cell)</t>
  </si>
  <si>
    <t>Average Dry Mass (gDW/cell)</t>
  </si>
  <si>
    <t>L/gDW</t>
  </si>
  <si>
    <t>Average Wet Mass (gWW/cell)</t>
  </si>
  <si>
    <t>NH2 - pg.8</t>
  </si>
  <si>
    <r>
      <t xml:space="preserve">Major vitamins, cofactors and prosthetic groups in </t>
    </r>
    <r>
      <rPr>
        <b/>
        <i/>
        <sz val="10"/>
        <rFont val="Arial"/>
        <family val="2"/>
      </rPr>
      <t>E. coli</t>
    </r>
  </si>
  <si>
    <t>Identified by 'GO cellular process' (http://www.godatabase.org):</t>
  </si>
  <si>
    <t>GO functional category</t>
  </si>
  <si>
    <t>major metabolite</t>
  </si>
  <si>
    <t>met. considered:</t>
  </si>
  <si>
    <t>10-formyltetrahydrofolate biosynthesis</t>
  </si>
  <si>
    <t>10-formyltetrahydrofolate</t>
  </si>
  <si>
    <t>folic acid biosynthesis</t>
  </si>
  <si>
    <t>folic acid</t>
  </si>
  <si>
    <t>biotin biosynthesis</t>
  </si>
  <si>
    <t>chorismate biosynthesis</t>
  </si>
  <si>
    <t>chorismate</t>
  </si>
  <si>
    <t>coenzyme A biosynthesis</t>
  </si>
  <si>
    <t>coenzyme A (pantothenate)</t>
  </si>
  <si>
    <t>glutathione biosynthesis</t>
  </si>
  <si>
    <t>glutathione</t>
  </si>
  <si>
    <t>lipoate biosynthesis</t>
  </si>
  <si>
    <t>lipoate</t>
  </si>
  <si>
    <t>Mo-molybdopterin cofactor biosynthesis</t>
  </si>
  <si>
    <t>molybdopterin</t>
  </si>
  <si>
    <t>nicotinamide adenine dinucleotide biosynthesis</t>
  </si>
  <si>
    <t>nicotinamide adenine dinucleotide (pyridine nucleotides)</t>
  </si>
  <si>
    <t>pyridoxine biosynthesis</t>
  </si>
  <si>
    <t>pyridoxal 5-phosphate</t>
  </si>
  <si>
    <t>S-adenosylmethionine biosynthesis</t>
  </si>
  <si>
    <t>S-adenosylmethionine</t>
  </si>
  <si>
    <t>thiamine biosynthesis</t>
  </si>
  <si>
    <t>thiamine diphosphate</t>
  </si>
  <si>
    <t>vitamin B12 biosynthesis</t>
  </si>
  <si>
    <t>vitamin B12</t>
  </si>
  <si>
    <t>Identified by major biosynthtic product (NH text):</t>
  </si>
  <si>
    <t>quinones</t>
  </si>
  <si>
    <t>heme</t>
  </si>
  <si>
    <t>protoheme</t>
  </si>
  <si>
    <t>riboflavin (flavin nucleotides)</t>
  </si>
  <si>
    <t>riboflavin</t>
  </si>
  <si>
    <t>Identified from essentiality data (Baba et al):</t>
  </si>
  <si>
    <t>Undecaprenyl pyrophosphate</t>
  </si>
  <si>
    <t>undecaprenyl pyrophosphate</t>
  </si>
  <si>
    <t>Type</t>
  </si>
  <si>
    <t>Concentration (CCDB)</t>
  </si>
  <si>
    <t>concentration (mM)</t>
  </si>
  <si>
    <t>species</t>
  </si>
  <si>
    <t>molar fraction</t>
  </si>
  <si>
    <t>NH2 - pg. 21</t>
  </si>
  <si>
    <t xml:space="preserve"> Number of K ions </t>
  </si>
  <si>
    <t> 90,000,000 (200-250 mM)</t>
  </si>
  <si>
    <t xml:space="preserve"> Number of Fe ions </t>
  </si>
  <si>
    <t> 7,000,000 (18 mM)</t>
  </si>
  <si>
    <t xml:space="preserve"> Number of Mg ions </t>
  </si>
  <si>
    <t> 4,000,000 (10 mM)</t>
  </si>
  <si>
    <t xml:space="preserve"> Number of Cl ions </t>
  </si>
  <si>
    <t> 2,400,000 (6 mM)</t>
  </si>
  <si>
    <t xml:space="preserve"> Number of Ca ions </t>
  </si>
  <si>
    <t> 2,300,000 (6 mM)</t>
  </si>
  <si>
    <t xml:space="preserve"> Number of Na ions </t>
  </si>
  <si>
    <t> 2,000,000 (5 mM)</t>
  </si>
  <si>
    <t>na</t>
  </si>
  <si>
    <t xml:space="preserve"> Number of PO4 ions </t>
  </si>
  <si>
    <t xml:space="preserve"> Number of Cu ions </t>
  </si>
  <si>
    <t> 1,700,000 (4 mM)</t>
  </si>
  <si>
    <t xml:space="preserve"> Number of Mn ions </t>
  </si>
  <si>
    <t xml:space="preserve"> Number of Mo ions </t>
  </si>
  <si>
    <t xml:space="preserve"> Number of Zn ions </t>
  </si>
  <si>
    <t>assumed approx same as most other metals</t>
  </si>
  <si>
    <t>assumed to be second most abundant cation (pg 1091 NH)</t>
  </si>
  <si>
    <t>assumed approx same as phosphate</t>
  </si>
  <si>
    <t>crosslinked composition:</t>
  </si>
  <si>
    <t>monomers</t>
  </si>
  <si>
    <t>dimers</t>
  </si>
  <si>
    <t>trimers</t>
  </si>
  <si>
    <t>mol % in sacculus:</t>
  </si>
  <si>
    <t>peptide length composition</t>
  </si>
  <si>
    <t>overall mol % (metabolite)</t>
  </si>
  <si>
    <t>compound name</t>
  </si>
  <si>
    <t>uncrosslinked 4p</t>
  </si>
  <si>
    <t>uncrosslinked 3p</t>
  </si>
  <si>
    <t>4p-&gt;4p *</t>
  </si>
  <si>
    <t>3p-&gt;4p *</t>
  </si>
  <si>
    <t>4p-&gt;4p-&gt;4p *</t>
  </si>
  <si>
    <t>* all A2pm -&gt; Ala crosslinked</t>
  </si>
  <si>
    <t>4p = 4-peptide</t>
  </si>
  <si>
    <t>3p = 3-peptide</t>
  </si>
  <si>
    <t>molecular makeup of the phospholipid composition</t>
  </si>
  <si>
    <t>rRNA bases</t>
  </si>
  <si>
    <t>Molar</t>
  </si>
  <si>
    <t>tRNA bases</t>
  </si>
  <si>
    <t>mRNA bases</t>
  </si>
  <si>
    <t>Total RNA (Molar)</t>
  </si>
  <si>
    <t>G</t>
  </si>
  <si>
    <t>A</t>
  </si>
  <si>
    <t>Number of A</t>
  </si>
  <si>
    <t>Number of T</t>
  </si>
  <si>
    <t>Number of G</t>
  </si>
  <si>
    <t>Number of C</t>
  </si>
  <si>
    <t>%</t>
  </si>
  <si>
    <t>DNA composition was estimated from genome information (http://cmr.jcvi.org/tigr-scripts/CMR/GenomePage.cgi?org=gpp)</t>
  </si>
  <si>
    <t>Bases</t>
  </si>
  <si>
    <t>Number of bases</t>
  </si>
  <si>
    <t>Molar ratio</t>
  </si>
  <si>
    <t>Total RNA = 0.05 mRNA+ 0.8 rRNA + 0.15 tRNA</t>
  </si>
  <si>
    <t>RNA composition was estimated from genome information (http://cmr.jcvi.org/tigr-scripts/CMR/GenomePage.cgi?org=gpp). Was assumed that Total RNA = 0.05 mRNA+ 0.8 rRNA + 0.15 tRNA</t>
  </si>
  <si>
    <t>Quintela et al, 1995</t>
  </si>
  <si>
    <t>Quintela JC, Caparrós M, de Pedro MA. Variability of peptidoglycan structural parameters in gram-negative bacteria. FEMS Microbiol Lett. 1995 Jan 1;125(1):95-100. PMID:7867925</t>
  </si>
  <si>
    <t>Total codons per aa</t>
  </si>
  <si>
    <t>Frequency per thousand</t>
  </si>
  <si>
    <t>Taken from E. coli</t>
  </si>
  <si>
    <t>Rühl J, Hein EM, Hayen H, Schmid A, Blank LM. The glycerophospholipid inventory of Pseudomonas putida is conserved between strains and enables growth condition-related alterations. Microb Biotechnol. 2012 Jan;5(1):45-58. PMID: 21895997</t>
  </si>
  <si>
    <r>
      <t xml:space="preserve">Murein composition in </t>
    </r>
    <r>
      <rPr>
        <b/>
        <i/>
        <sz val="14"/>
        <rFont val="Arial"/>
        <family val="2"/>
      </rPr>
      <t xml:space="preserve">P. Putida </t>
    </r>
    <r>
      <rPr>
        <b/>
        <sz val="14"/>
        <rFont val="Arial"/>
        <family val="2"/>
      </rPr>
      <t>KT2440</t>
    </r>
  </si>
  <si>
    <r>
      <t xml:space="preserve">Lipid composition in </t>
    </r>
    <r>
      <rPr>
        <b/>
        <i/>
        <sz val="14"/>
        <rFont val="Arial"/>
        <family val="2"/>
      </rPr>
      <t xml:space="preserve">Pseudomonas putida </t>
    </r>
    <r>
      <rPr>
        <b/>
        <sz val="14"/>
        <rFont val="Arial"/>
        <family val="2"/>
      </rPr>
      <t>KT2440</t>
    </r>
  </si>
  <si>
    <t xml:space="preserve">Amino acids composition was estimated from genome information (http://cmr.jcvi.org/tigr-scripts/CMR/GenomePage.cgi?org=gpp). </t>
  </si>
  <si>
    <t>Compound name</t>
  </si>
  <si>
    <t xml:space="preserve"> Ala (A)</t>
  </si>
  <si>
    <t xml:space="preserve"> Arg (R)</t>
  </si>
  <si>
    <t xml:space="preserve"> Asn (N)</t>
  </si>
  <si>
    <t xml:space="preserve"> Asp (D)</t>
  </si>
  <si>
    <t xml:space="preserve"> Cys (C)</t>
  </si>
  <si>
    <t xml:space="preserve"> Gln (Q)</t>
  </si>
  <si>
    <t xml:space="preserve"> Glu (E)</t>
  </si>
  <si>
    <t xml:space="preserve"> Gly (G)</t>
  </si>
  <si>
    <t xml:space="preserve"> His (H)</t>
  </si>
  <si>
    <t xml:space="preserve"> Ile (I)</t>
  </si>
  <si>
    <t xml:space="preserve"> Leu (L)</t>
  </si>
  <si>
    <t xml:space="preserve"> Lys (K)</t>
  </si>
  <si>
    <t xml:space="preserve"> Met (M)</t>
  </si>
  <si>
    <t xml:space="preserve"> Phe (F)</t>
  </si>
  <si>
    <t xml:space="preserve"> Pro (P)</t>
  </si>
  <si>
    <t xml:space="preserve"> Ser (S)</t>
  </si>
  <si>
    <t xml:space="preserve"> Thr (T)</t>
  </si>
  <si>
    <t xml:space="preserve"> Trp (W)</t>
  </si>
  <si>
    <t xml:space="preserve"> Tyr (Y)</t>
  </si>
  <si>
    <t xml:space="preserve"> Val (V)</t>
  </si>
  <si>
    <t>from e.coli</t>
  </si>
  <si>
    <t>from KT</t>
  </si>
  <si>
    <t>atp</t>
  </si>
  <si>
    <t>U</t>
  </si>
  <si>
    <t>C33H66N1O8P1</t>
  </si>
  <si>
    <t>C41H82N1O8P1</t>
  </si>
  <si>
    <t>C34H66O10P1</t>
  </si>
  <si>
    <t>C42H82O10P1</t>
  </si>
  <si>
    <t>C65H124O17P2</t>
  </si>
  <si>
    <t>C81H156O17P2</t>
  </si>
  <si>
    <t>lpspput</t>
  </si>
  <si>
    <t>C148H254N6O91P6</t>
  </si>
  <si>
    <t>mocogdp</t>
  </si>
  <si>
    <t>2fe2s</t>
  </si>
  <si>
    <t>4fe4s</t>
  </si>
  <si>
    <t>lipopb</t>
  </si>
  <si>
    <t>pqqh2</t>
  </si>
  <si>
    <t>bmocogdp</t>
  </si>
  <si>
    <t>pyovd-kt[p]</t>
  </si>
  <si>
    <t>btamp</t>
  </si>
  <si>
    <t>pyoverdine biosynthesis</t>
  </si>
  <si>
    <t>pyovd-kt</t>
  </si>
  <si>
    <t>pyrroloquinoline-quinone</t>
  </si>
  <si>
    <t>Biotinyl-5'-AMP</t>
  </si>
  <si>
    <t>iron-sulfur cluster</t>
  </si>
  <si>
    <t>P. putida specific soluble components</t>
  </si>
  <si>
    <r>
      <t>pyoverdine (</t>
    </r>
    <r>
      <rPr>
        <i/>
        <sz val="11"/>
        <color theme="1"/>
        <rFont val="Calibri"/>
        <family val="2"/>
        <scheme val="minor"/>
      </rPr>
      <t>P. putida</t>
    </r>
    <r>
      <rPr>
        <sz val="11"/>
        <color theme="1"/>
        <rFont val="Calibri"/>
        <family val="2"/>
        <scheme val="minor"/>
      </rPr>
      <t xml:space="preserve"> specific)</t>
    </r>
  </si>
  <si>
    <t>ni2</t>
  </si>
  <si>
    <t>Number of Ni ions</t>
  </si>
  <si>
    <t>Asumed _ Zn</t>
  </si>
  <si>
    <t>Ni</t>
  </si>
  <si>
    <t>na1</t>
  </si>
  <si>
    <t>Na</t>
  </si>
  <si>
    <t>S2Fe2</t>
  </si>
  <si>
    <t>S4Fe4</t>
  </si>
  <si>
    <t>C20H22N10O15P2S2Mo</t>
  </si>
  <si>
    <t>C20H27N7O9PS</t>
  </si>
  <si>
    <t>C8H13OS2</t>
  </si>
  <si>
    <t>C14H5N2O8</t>
  </si>
  <si>
    <t>C40H44N20O27P4S4Mo</t>
  </si>
  <si>
    <t>NGAM</t>
  </si>
  <si>
    <t>PMID: 21803911</t>
  </si>
  <si>
    <t xml:space="preserve">Monomers </t>
  </si>
  <si>
    <t>Dimers</t>
  </si>
  <si>
    <t>Trimers</t>
  </si>
  <si>
    <t xml:space="preserve"> LPP</t>
  </si>
  <si>
    <t xml:space="preserve">A2pm-A2pm </t>
  </si>
  <si>
    <t>Anhydro</t>
  </si>
  <si>
    <t>Relative abundance (mol %)</t>
  </si>
  <si>
    <t>Cross-linkage</t>
  </si>
  <si>
    <t>A characteristic of Gram-negative bacteria is the
chemical homogeneity of the cell wall peptidoglycan
(murein).</t>
  </si>
  <si>
    <t xml:space="preserve">E. coli   </t>
  </si>
  <si>
    <t xml:space="preserve">P. putida     </t>
  </si>
  <si>
    <t>two linked disacharide tetrapeptide murein units (uncrosslinked, middle of chain)</t>
  </si>
  <si>
    <t xml:space="preserve">
two linked disacharide tripeptide murein units (uncrosslinked, middle of chain)</t>
  </si>
  <si>
    <t>two disacharide linked murein units, tetrapeptide corsslinked tetrapeptide (A2pm-&gt;D-ala) (middle of chain)</t>
  </si>
  <si>
    <t xml:space="preserve">
two disacharide linked murein units, tripeptide crosslinked tetrapeptide (A2pm-&gt;D-ala) (middle of chain)</t>
  </si>
  <si>
    <t xml:space="preserve">
three disacharide linked murein units (tetrapeptide crosslinked tetrapeptide (A2pm-&gt;D-ala) &amp; tetrapeptide corsslinked tetrapeptide (A2pm-&gt;D-ala)) (middle of chain)</t>
  </si>
  <si>
    <t>thmnp</t>
  </si>
  <si>
    <t>Tetrabiopterin biosynthesis</t>
  </si>
  <si>
    <t xml:space="preserve">
Tetrahydromonapterin</t>
  </si>
  <si>
    <t>C9H15N5O4</t>
  </si>
  <si>
    <t>C17:0 cyclo</t>
  </si>
  <si>
    <t>cpg160</t>
  </si>
  <si>
    <t>cpe160</t>
  </si>
  <si>
    <t>C39H74N1O8P1</t>
  </si>
  <si>
    <t>C40H74O10P1</t>
  </si>
  <si>
    <t>murein5px4p</t>
  </si>
  <si>
    <t>C77H117N15O40</t>
  </si>
  <si>
    <t>phethapphlipa</t>
  </si>
  <si>
    <t>C112H195N3O65P6</t>
  </si>
  <si>
    <t>PP_0243, key gene involved in gthrd biosynthesis, was found not essential in LB. (this study)</t>
  </si>
  <si>
    <t>PP_5045, PP_5104, PP_5105, PP_4782,PP_4922. Involved in thiamine biosynthesis, no auxotrophous found.</t>
  </si>
  <si>
    <t xml:space="preserve">PP_1293 (MOADSUx/MPTS) involved in molibdopterin biosynthesis is not essential in LB. </t>
  </si>
  <si>
    <t>PP_0376, PP_0378, PP_0381 involved in pqqAc_kt biosynthesis are not essential genes in LB (This study)</t>
  </si>
  <si>
    <t>Cob genes not essential on LB, this work</t>
  </si>
  <si>
    <t>PP_5013, PP_0687 (OPHHX (UbiB) and OCTDPS (IspB)) not essential in LB, This work</t>
  </si>
  <si>
    <t>Pyoverdine biosynthesis is not essential in LB and/or M9 minimal medium</t>
  </si>
  <si>
    <t>Inorganic ions</t>
  </si>
  <si>
    <t>sSoluble pool</t>
  </si>
  <si>
    <t>Reconciling in vivo and in silico key biological parameters of Pseudomonas putida KT2440 during growth on glucose under carbon-limited condition. Jozef BJH van Duuren, Jacek Puchałka, Astrid E Mars, René Bücker, Gerrit Eggink2, Christoph Wittmann4 and Vítor AP Martins dos Santos. BMC Biotechnol. 2013 Oct 29;13:93.</t>
  </si>
  <si>
    <r>
      <t xml:space="preserve">Ion composition in </t>
    </r>
    <r>
      <rPr>
        <b/>
        <i/>
        <sz val="18"/>
        <rFont val="Arial"/>
        <family val="2"/>
      </rPr>
      <t>P. putida</t>
    </r>
    <r>
      <rPr>
        <b/>
        <sz val="18"/>
        <rFont val="Arial"/>
        <family val="2"/>
      </rPr>
      <t xml:space="preserve"> was taken from </t>
    </r>
    <r>
      <rPr>
        <b/>
        <i/>
        <sz val="18"/>
        <rFont val="Arial"/>
        <family val="2"/>
      </rPr>
      <t>E.coli</t>
    </r>
    <r>
      <rPr>
        <b/>
        <sz val="18"/>
        <rFont val="Arial"/>
        <family val="2"/>
      </rPr>
      <t>.</t>
    </r>
  </si>
  <si>
    <r>
      <t xml:space="preserve">Soluable Pool composition in </t>
    </r>
    <r>
      <rPr>
        <b/>
        <i/>
        <sz val="18"/>
        <rFont val="Arial"/>
        <family val="2"/>
      </rPr>
      <t>P. putida</t>
    </r>
  </si>
  <si>
    <r>
      <rPr>
        <b/>
        <i/>
        <sz val="18"/>
        <rFont val="Arial"/>
        <family val="2"/>
      </rPr>
      <t xml:space="preserve">P. putida </t>
    </r>
    <r>
      <rPr>
        <b/>
        <sz val="18"/>
        <rFont val="Arial"/>
        <family val="2"/>
      </rPr>
      <t>KT2440 WT Biomass Objective Function</t>
    </r>
  </si>
  <si>
    <r>
      <rPr>
        <b/>
        <i/>
        <sz val="18"/>
        <rFont val="Arial"/>
        <family val="2"/>
      </rPr>
      <t>P. putida</t>
    </r>
    <r>
      <rPr>
        <b/>
        <sz val="18"/>
        <rFont val="Arial"/>
        <family val="2"/>
      </rPr>
      <t xml:space="preserve"> KT2440 WT Biomass Objective Function</t>
    </r>
  </si>
  <si>
    <r>
      <t xml:space="preserve">RNA composition in </t>
    </r>
    <r>
      <rPr>
        <b/>
        <i/>
        <sz val="18"/>
        <color theme="1"/>
        <rFont val="Calibri"/>
        <family val="2"/>
        <scheme val="minor"/>
      </rPr>
      <t>P. putida</t>
    </r>
    <r>
      <rPr>
        <b/>
        <sz val="18"/>
        <color theme="1"/>
        <rFont val="Calibri"/>
        <family val="2"/>
        <scheme val="minor"/>
      </rPr>
      <t xml:space="preserve"> KT2440</t>
    </r>
  </si>
  <si>
    <r>
      <t>DNA composition in</t>
    </r>
    <r>
      <rPr>
        <b/>
        <i/>
        <sz val="18"/>
        <color theme="1"/>
        <rFont val="Calibri"/>
        <family val="2"/>
        <scheme val="minor"/>
      </rPr>
      <t xml:space="preserve"> P. putida</t>
    </r>
    <r>
      <rPr>
        <b/>
        <sz val="18"/>
        <color theme="1"/>
        <rFont val="Calibri"/>
        <family val="2"/>
        <scheme val="minor"/>
      </rPr>
      <t xml:space="preserve"> KT2440.</t>
    </r>
  </si>
  <si>
    <r>
      <t xml:space="preserve">Amino acids composition in </t>
    </r>
    <r>
      <rPr>
        <b/>
        <i/>
        <sz val="18"/>
        <color theme="1"/>
        <rFont val="Calibri"/>
        <family val="2"/>
        <scheme val="minor"/>
      </rPr>
      <t>P. putida</t>
    </r>
    <r>
      <rPr>
        <b/>
        <sz val="18"/>
        <color theme="1"/>
        <rFont val="Calibri"/>
        <family val="2"/>
        <scheme val="minor"/>
      </rPr>
      <t xml:space="preserve"> KT2440</t>
    </r>
  </si>
  <si>
    <r>
      <t xml:space="preserve">Lipid composition in </t>
    </r>
    <r>
      <rPr>
        <b/>
        <i/>
        <sz val="18"/>
        <rFont val="Arial"/>
        <family val="2"/>
      </rPr>
      <t xml:space="preserve">Pseudomonas putida </t>
    </r>
    <r>
      <rPr>
        <b/>
        <sz val="18"/>
        <rFont val="Arial"/>
        <family val="2"/>
      </rPr>
      <t>KT2440</t>
    </r>
  </si>
  <si>
    <r>
      <t xml:space="preserve">Soluble Pool composition in </t>
    </r>
    <r>
      <rPr>
        <b/>
        <i/>
        <sz val="18"/>
        <rFont val="Arial"/>
        <family val="2"/>
      </rPr>
      <t>P. putida</t>
    </r>
  </si>
  <si>
    <r>
      <t xml:space="preserve">Macromolecular composition in </t>
    </r>
    <r>
      <rPr>
        <b/>
        <i/>
        <sz val="18"/>
        <color theme="1"/>
        <rFont val="Calibri"/>
        <family val="2"/>
        <scheme val="minor"/>
      </rPr>
      <t>P. putida</t>
    </r>
    <r>
      <rPr>
        <b/>
        <sz val="18"/>
        <color theme="1"/>
        <rFont val="Calibri"/>
        <family val="2"/>
        <scheme val="minor"/>
      </rPr>
      <t xml:space="preserve"> KT2440</t>
    </r>
  </si>
  <si>
    <t>Fraction</t>
  </si>
  <si>
    <t>Fraction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</si>
</sst>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0"/>
    <numFmt numFmtId="166" formatCode="0.000E+00"/>
    <numFmt numFmtId="167" formatCode="0.0000"/>
    <numFmt numFmtId="168" formatCode="0.00000"/>
    <numFmt numFmtId="169" formatCode="0.00000000"/>
    <numFmt numFmtId="170" formatCode="0.00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1"/>
      <color rgb="FF00000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color theme="1"/>
      <name val="Arial Unicode MS"/>
      <family val="3"/>
      <charset val="129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color theme="1"/>
      <name val="Calibri"/>
      <family val="2"/>
      <scheme val="minor"/>
    </font>
    <font>
      <b/>
      <i/>
      <sz val="18"/>
      <name val="Arial"/>
      <family val="2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7D8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17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5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4" fontId="0" fillId="0" borderId="14" xfId="0" applyNumberFormat="1" applyBorder="1"/>
    <xf numFmtId="164" fontId="0" fillId="0" borderId="14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6" fillId="0" borderId="0" xfId="0" applyFont="1"/>
    <xf numFmtId="164" fontId="0" fillId="0" borderId="13" xfId="0" applyNumberFormat="1" applyBorder="1"/>
    <xf numFmtId="164" fontId="0" fillId="0" borderId="13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0" xfId="0" applyFill="1" applyBorder="1" applyAlignment="1"/>
    <xf numFmtId="164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0" fontId="3" fillId="4" borderId="17" xfId="0" applyFont="1" applyFill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right"/>
    </xf>
    <xf numFmtId="20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 applyBorder="1"/>
    <xf numFmtId="164" fontId="0" fillId="0" borderId="0" xfId="0" applyNumberFormat="1"/>
    <xf numFmtId="0" fontId="0" fillId="6" borderId="0" xfId="0" applyFill="1" applyBorder="1"/>
    <xf numFmtId="165" fontId="0" fillId="0" borderId="0" xfId="0" applyNumberFormat="1" applyFill="1" applyBorder="1"/>
    <xf numFmtId="0" fontId="1" fillId="0" borderId="0" xfId="0" applyFont="1"/>
    <xf numFmtId="0" fontId="0" fillId="4" borderId="5" xfId="0" applyFill="1" applyBorder="1"/>
    <xf numFmtId="0" fontId="0" fillId="6" borderId="5" xfId="0" applyFill="1" applyBorder="1"/>
    <xf numFmtId="0" fontId="1" fillId="0" borderId="25" xfId="0" applyFont="1" applyBorder="1" applyAlignment="1">
      <alignment horizontal="center"/>
    </xf>
    <xf numFmtId="2" fontId="1" fillId="0" borderId="13" xfId="0" applyNumberFormat="1" applyFont="1" applyFill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0" fontId="3" fillId="0" borderId="0" xfId="0" applyFont="1" applyFill="1"/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29" xfId="0" applyFill="1" applyBorder="1"/>
    <xf numFmtId="0" fontId="3" fillId="0" borderId="13" xfId="0" applyFont="1" applyFill="1" applyBorder="1"/>
    <xf numFmtId="0" fontId="0" fillId="0" borderId="13" xfId="0" applyFill="1" applyBorder="1"/>
    <xf numFmtId="164" fontId="0" fillId="0" borderId="13" xfId="0" applyNumberFormat="1" applyFill="1" applyBorder="1"/>
    <xf numFmtId="166" fontId="0" fillId="0" borderId="0" xfId="0" applyNumberFormat="1" applyFill="1"/>
    <xf numFmtId="0" fontId="0" fillId="2" borderId="0" xfId="0" applyFill="1" applyBorder="1" applyAlignment="1">
      <alignment horizontal="right"/>
    </xf>
    <xf numFmtId="164" fontId="0" fillId="0" borderId="0" xfId="0" applyNumberFormat="1" applyFill="1"/>
    <xf numFmtId="166" fontId="0" fillId="0" borderId="13" xfId="0" applyNumberFormat="1" applyFill="1" applyBorder="1"/>
    <xf numFmtId="0" fontId="2" fillId="2" borderId="0" xfId="0" applyFont="1" applyFill="1" applyBorder="1" applyAlignment="1">
      <alignment horizontal="right"/>
    </xf>
    <xf numFmtId="0" fontId="2" fillId="0" borderId="0" xfId="0" applyFont="1" applyFill="1"/>
    <xf numFmtId="164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0" fontId="0" fillId="2" borderId="29" xfId="0" applyNumberFormat="1" applyFill="1" applyBorder="1"/>
    <xf numFmtId="0" fontId="0" fillId="8" borderId="6" xfId="0" applyFill="1" applyBorder="1" applyAlignment="1"/>
    <xf numFmtId="0" fontId="0" fillId="8" borderId="0" xfId="0" applyFill="1" applyBorder="1"/>
    <xf numFmtId="164" fontId="0" fillId="8" borderId="0" xfId="0" applyNumberFormat="1" applyFill="1" applyBorder="1"/>
    <xf numFmtId="165" fontId="0" fillId="8" borderId="0" xfId="0" applyNumberFormat="1" applyFill="1" applyBorder="1"/>
    <xf numFmtId="0" fontId="0" fillId="8" borderId="0" xfId="0" applyNumberFormat="1" applyFill="1" applyBorder="1"/>
    <xf numFmtId="0" fontId="0" fillId="8" borderId="0" xfId="0" applyNumberFormat="1" applyFill="1" applyBorder="1" applyAlignment="1">
      <alignment horizontal="center"/>
    </xf>
    <xf numFmtId="0" fontId="2" fillId="8" borderId="0" xfId="0" applyFont="1" applyFill="1" applyBorder="1"/>
    <xf numFmtId="10" fontId="0" fillId="8" borderId="0" xfId="0" applyNumberFormat="1" applyFill="1" applyBorder="1" applyAlignment="1">
      <alignment horizontal="right"/>
    </xf>
    <xf numFmtId="167" fontId="0" fillId="8" borderId="0" xfId="0" applyNumberFormat="1" applyFill="1" applyBorder="1"/>
    <xf numFmtId="0" fontId="0" fillId="8" borderId="0" xfId="0" applyFill="1" applyBorder="1" applyAlignment="1">
      <alignment horizontal="right"/>
    </xf>
    <xf numFmtId="10" fontId="0" fillId="8" borderId="29" xfId="0" applyNumberFormat="1" applyFill="1" applyBorder="1"/>
    <xf numFmtId="167" fontId="2" fillId="8" borderId="0" xfId="0" applyNumberFormat="1" applyFont="1" applyFill="1" applyBorder="1"/>
    <xf numFmtId="164" fontId="2" fillId="8" borderId="0" xfId="0" applyNumberFormat="1" applyFont="1" applyFill="1" applyBorder="1" applyAlignment="1">
      <alignment horizontal="right"/>
    </xf>
    <xf numFmtId="0" fontId="7" fillId="0" borderId="0" xfId="0" applyFont="1" applyFill="1"/>
    <xf numFmtId="0" fontId="0" fillId="5" borderId="6" xfId="0" applyFill="1" applyBorder="1" applyAlignment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0" fontId="0" fillId="5" borderId="0" xfId="0" applyNumberFormat="1" applyFill="1" applyBorder="1"/>
    <xf numFmtId="0" fontId="0" fillId="5" borderId="0" xfId="0" applyNumberFormat="1" applyFill="1" applyBorder="1" applyAlignment="1">
      <alignment horizontal="center"/>
    </xf>
    <xf numFmtId="0" fontId="2" fillId="5" borderId="0" xfId="0" applyFont="1" applyFill="1" applyBorder="1"/>
    <xf numFmtId="10" fontId="0" fillId="5" borderId="0" xfId="0" applyNumberFormat="1" applyFill="1" applyBorder="1" applyAlignment="1">
      <alignment horizontal="right"/>
    </xf>
    <xf numFmtId="167" fontId="0" fillId="5" borderId="0" xfId="0" applyNumberFormat="1" applyFill="1" applyBorder="1"/>
    <xf numFmtId="0" fontId="0" fillId="5" borderId="0" xfId="0" applyFill="1" applyBorder="1" applyAlignment="1">
      <alignment horizontal="right"/>
    </xf>
    <xf numFmtId="10" fontId="0" fillId="5" borderId="29" xfId="0" applyNumberFormat="1" applyFill="1" applyBorder="1"/>
    <xf numFmtId="167" fontId="2" fillId="5" borderId="0" xfId="0" applyNumberFormat="1" applyFont="1" applyFill="1" applyBorder="1"/>
    <xf numFmtId="164" fontId="2" fillId="5" borderId="0" xfId="0" applyNumberFormat="1" applyFont="1" applyFill="1" applyBorder="1" applyAlignment="1">
      <alignment horizontal="right"/>
    </xf>
    <xf numFmtId="0" fontId="0" fillId="3" borderId="0" xfId="0" applyFill="1" applyBorder="1"/>
    <xf numFmtId="165" fontId="0" fillId="3" borderId="0" xfId="0" applyNumberFormat="1" applyFill="1" applyBorder="1"/>
    <xf numFmtId="0" fontId="0" fillId="3" borderId="0" xfId="0" applyNumberFormat="1" applyFill="1" applyBorder="1"/>
    <xf numFmtId="0" fontId="0" fillId="3" borderId="0" xfId="0" applyNumberFormat="1" applyFill="1" applyBorder="1" applyAlignment="1">
      <alignment horizontal="center"/>
    </xf>
    <xf numFmtId="1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/>
    <xf numFmtId="0" fontId="2" fillId="3" borderId="0" xfId="0" applyFont="1" applyFill="1" applyBorder="1"/>
    <xf numFmtId="10" fontId="0" fillId="3" borderId="29" xfId="0" applyNumberFormat="1" applyFill="1" applyBorder="1"/>
    <xf numFmtId="0" fontId="0" fillId="9" borderId="6" xfId="0" applyFill="1" applyBorder="1" applyAlignment="1"/>
    <xf numFmtId="0" fontId="0" fillId="9" borderId="0" xfId="0" applyFill="1" applyBorder="1"/>
    <xf numFmtId="165" fontId="0" fillId="9" borderId="0" xfId="0" applyNumberFormat="1" applyFill="1" applyBorder="1"/>
    <xf numFmtId="0" fontId="2" fillId="9" borderId="0" xfId="0" applyFont="1" applyFill="1" applyBorder="1"/>
    <xf numFmtId="0" fontId="0" fillId="9" borderId="0" xfId="0" applyNumberFormat="1" applyFill="1" applyBorder="1"/>
    <xf numFmtId="0" fontId="0" fillId="9" borderId="0" xfId="0" applyNumberFormat="1" applyFill="1" applyBorder="1" applyAlignment="1">
      <alignment horizontal="center"/>
    </xf>
    <xf numFmtId="10" fontId="0" fillId="9" borderId="0" xfId="0" applyNumberFormat="1" applyFill="1" applyBorder="1" applyAlignment="1">
      <alignment horizontal="right"/>
    </xf>
    <xf numFmtId="164" fontId="0" fillId="9" borderId="0" xfId="0" applyNumberFormat="1" applyFill="1" applyBorder="1"/>
    <xf numFmtId="0" fontId="8" fillId="9" borderId="0" xfId="0" applyFont="1" applyFill="1" applyBorder="1"/>
    <xf numFmtId="0" fontId="0" fillId="9" borderId="0" xfId="0" applyFill="1" applyBorder="1" applyAlignment="1">
      <alignment horizontal="right"/>
    </xf>
    <xf numFmtId="10" fontId="0" fillId="9" borderId="29" xfId="0" applyNumberFormat="1" applyFill="1" applyBorder="1"/>
    <xf numFmtId="167" fontId="2" fillId="9" borderId="0" xfId="0" applyNumberFormat="1" applyFont="1" applyFill="1" applyBorder="1"/>
    <xf numFmtId="164" fontId="2" fillId="9" borderId="0" xfId="0" applyNumberFormat="1" applyFont="1" applyFill="1" applyBorder="1" applyAlignment="1">
      <alignment horizontal="right"/>
    </xf>
    <xf numFmtId="0" fontId="0" fillId="10" borderId="6" xfId="0" applyFill="1" applyBorder="1" applyAlignment="1"/>
    <xf numFmtId="0" fontId="0" fillId="10" borderId="0" xfId="0" applyFill="1" applyBorder="1"/>
    <xf numFmtId="165" fontId="0" fillId="10" borderId="0" xfId="0" applyNumberFormat="1" applyFill="1" applyBorder="1"/>
    <xf numFmtId="0" fontId="0" fillId="10" borderId="0" xfId="0" applyNumberFormat="1" applyFill="1" applyBorder="1"/>
    <xf numFmtId="0" fontId="0" fillId="10" borderId="0" xfId="0" applyNumberFormat="1" applyFill="1" applyBorder="1" applyAlignment="1">
      <alignment horizontal="center"/>
    </xf>
    <xf numFmtId="10" fontId="0" fillId="10" borderId="0" xfId="0" applyNumberFormat="1" applyFill="1" applyBorder="1" applyAlignment="1">
      <alignment horizontal="right"/>
    </xf>
    <xf numFmtId="0" fontId="0" fillId="10" borderId="0" xfId="0" applyNumberFormat="1" applyFill="1" applyBorder="1" applyAlignment="1">
      <alignment horizontal="right"/>
    </xf>
    <xf numFmtId="10" fontId="0" fillId="10" borderId="29" xfId="0" applyNumberFormat="1" applyFill="1" applyBorder="1"/>
    <xf numFmtId="0" fontId="2" fillId="3" borderId="6" xfId="0" applyFont="1" applyFill="1" applyBorder="1" applyAlignment="1"/>
    <xf numFmtId="167" fontId="2" fillId="3" borderId="0" xfId="0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0" fontId="0" fillId="0" borderId="0" xfId="0" quotePrefix="1" applyFill="1"/>
    <xf numFmtId="0" fontId="0" fillId="3" borderId="6" xfId="0" applyFill="1" applyBorder="1"/>
    <xf numFmtId="0" fontId="0" fillId="3" borderId="29" xfId="0" applyFill="1" applyBorder="1"/>
    <xf numFmtId="0" fontId="0" fillId="10" borderId="6" xfId="0" applyFill="1" applyBorder="1"/>
    <xf numFmtId="0" fontId="2" fillId="10" borderId="0" xfId="0" applyFont="1" applyFill="1" applyBorder="1"/>
    <xf numFmtId="164" fontId="0" fillId="10" borderId="0" xfId="0" applyNumberFormat="1" applyFill="1" applyBorder="1"/>
    <xf numFmtId="0" fontId="0" fillId="10" borderId="29" xfId="0" applyFill="1" applyBorder="1"/>
    <xf numFmtId="0" fontId="0" fillId="0" borderId="6" xfId="0" applyFill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applyNumberFormat="1" applyFill="1" applyBorder="1"/>
    <xf numFmtId="0" fontId="0" fillId="0" borderId="29" xfId="0" applyFill="1" applyBorder="1"/>
    <xf numFmtId="0" fontId="3" fillId="0" borderId="6" xfId="0" applyFont="1" applyFill="1" applyBorder="1"/>
    <xf numFmtId="0" fontId="0" fillId="8" borderId="6" xfId="0" applyFill="1" applyBorder="1"/>
    <xf numFmtId="0" fontId="0" fillId="8" borderId="0" xfId="0" applyFill="1" applyBorder="1" applyAlignment="1">
      <alignment horizontal="center"/>
    </xf>
    <xf numFmtId="0" fontId="0" fillId="8" borderId="29" xfId="0" applyFill="1" applyBorder="1"/>
    <xf numFmtId="0" fontId="0" fillId="5" borderId="6" xfId="0" applyFill="1" applyBorder="1"/>
    <xf numFmtId="0" fontId="0" fillId="5" borderId="0" xfId="0" applyFill="1" applyBorder="1" applyAlignment="1">
      <alignment horizontal="center"/>
    </xf>
    <xf numFmtId="0" fontId="0" fillId="5" borderId="29" xfId="0" applyFill="1" applyBorder="1"/>
    <xf numFmtId="167" fontId="0" fillId="2" borderId="0" xfId="0" applyNumberFormat="1" applyFill="1" applyBorder="1"/>
    <xf numFmtId="0" fontId="0" fillId="2" borderId="0" xfId="0" applyNumberFormat="1" applyFill="1" applyBorder="1"/>
    <xf numFmtId="0" fontId="0" fillId="2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/>
    <xf numFmtId="0" fontId="0" fillId="10" borderId="9" xfId="0" applyFill="1" applyBorder="1"/>
    <xf numFmtId="165" fontId="0" fillId="10" borderId="9" xfId="0" applyNumberFormat="1" applyFill="1" applyBorder="1"/>
    <xf numFmtId="0" fontId="0" fillId="10" borderId="9" xfId="0" applyFill="1" applyBorder="1" applyAlignment="1">
      <alignment horizontal="center"/>
    </xf>
    <xf numFmtId="0" fontId="2" fillId="10" borderId="9" xfId="0" applyFont="1" applyFill="1" applyBorder="1"/>
    <xf numFmtId="164" fontId="0" fillId="10" borderId="9" xfId="0" applyNumberFormat="1" applyFill="1" applyBorder="1"/>
    <xf numFmtId="0" fontId="0" fillId="10" borderId="30" xfId="0" applyFill="1" applyBorder="1"/>
    <xf numFmtId="0" fontId="2" fillId="0" borderId="2" xfId="0" applyFont="1" applyBorder="1"/>
    <xf numFmtId="165" fontId="0" fillId="0" borderId="4" xfId="0" applyNumberFormat="1" applyBorder="1"/>
    <xf numFmtId="0" fontId="0" fillId="0" borderId="6" xfId="0" applyFill="1" applyBorder="1" applyAlignment="1">
      <alignment horizontal="right"/>
    </xf>
    <xf numFmtId="164" fontId="0" fillId="11" borderId="29" xfId="0" applyNumberFormat="1" applyFill="1" applyBorder="1"/>
    <xf numFmtId="10" fontId="0" fillId="0" borderId="0" xfId="0" applyNumberFormat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NumberFormat="1"/>
    <xf numFmtId="0" fontId="3" fillId="0" borderId="17" xfId="0" applyFont="1" applyBorder="1"/>
    <xf numFmtId="0" fontId="0" fillId="0" borderId="20" xfId="0" applyBorder="1"/>
    <xf numFmtId="0" fontId="0" fillId="0" borderId="13" xfId="0" applyBorder="1"/>
    <xf numFmtId="0" fontId="0" fillId="0" borderId="16" xfId="0" applyBorder="1"/>
    <xf numFmtId="0" fontId="2" fillId="0" borderId="13" xfId="0" applyFont="1" applyBorder="1"/>
    <xf numFmtId="0" fontId="0" fillId="0" borderId="21" xfId="0" applyBorder="1"/>
    <xf numFmtId="0" fontId="0" fillId="0" borderId="22" xfId="0" applyBorder="1"/>
    <xf numFmtId="0" fontId="3" fillId="0" borderId="18" xfId="0" applyFont="1" applyBorder="1"/>
    <xf numFmtId="0" fontId="3" fillId="0" borderId="19" xfId="0" applyFont="1" applyBorder="1"/>
    <xf numFmtId="0" fontId="4" fillId="0" borderId="20" xfId="0" applyFont="1" applyBorder="1"/>
    <xf numFmtId="0" fontId="0" fillId="0" borderId="13" xfId="0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0" fontId="0" fillId="0" borderId="16" xfId="0" applyNumberFormat="1" applyBorder="1"/>
    <xf numFmtId="0" fontId="0" fillId="0" borderId="20" xfId="0" applyFill="1" applyBorder="1" applyAlignment="1">
      <alignment horizontal="left"/>
    </xf>
    <xf numFmtId="165" fontId="0" fillId="0" borderId="13" xfId="0" applyNumberFormat="1" applyFill="1" applyBorder="1"/>
    <xf numFmtId="0" fontId="0" fillId="0" borderId="20" xfId="0" applyBorder="1" applyAlignment="1">
      <alignment horizontal="left"/>
    </xf>
    <xf numFmtId="0" fontId="2" fillId="0" borderId="22" xfId="0" applyFont="1" applyBorder="1"/>
    <xf numFmtId="10" fontId="0" fillId="0" borderId="23" xfId="0" applyNumberFormat="1" applyBorder="1"/>
    <xf numFmtId="0" fontId="0" fillId="0" borderId="3" xfId="0" applyBorder="1"/>
    <xf numFmtId="0" fontId="0" fillId="0" borderId="4" xfId="0" applyBorder="1"/>
    <xf numFmtId="0" fontId="2" fillId="0" borderId="20" xfId="0" applyFont="1" applyBorder="1"/>
    <xf numFmtId="11" fontId="0" fillId="0" borderId="13" xfId="0" applyNumberFormat="1" applyBorder="1" applyAlignment="1">
      <alignment horizontal="center" vertical="center"/>
    </xf>
    <xf numFmtId="0" fontId="0" fillId="0" borderId="29" xfId="0" applyBorder="1"/>
    <xf numFmtId="0" fontId="2" fillId="0" borderId="13" xfId="0" applyFon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0" fontId="2" fillId="0" borderId="20" xfId="0" applyFont="1" applyFill="1" applyBorder="1"/>
    <xf numFmtId="0" fontId="0" fillId="0" borderId="6" xfId="0" applyBorder="1"/>
    <xf numFmtId="0" fontId="0" fillId="0" borderId="0" xfId="0" applyFill="1" applyBorder="1" applyAlignment="1">
      <alignment horizontal="left"/>
    </xf>
    <xf numFmtId="0" fontId="0" fillId="0" borderId="29" xfId="0" applyBorder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20" xfId="0" applyFont="1" applyBorder="1"/>
    <xf numFmtId="0" fontId="5" fillId="0" borderId="20" xfId="0" applyFont="1" applyBorder="1"/>
    <xf numFmtId="0" fontId="5" fillId="0" borderId="13" xfId="0" applyFont="1" applyBorder="1"/>
    <xf numFmtId="0" fontId="5" fillId="0" borderId="16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16" xfId="0" applyFill="1" applyBorder="1"/>
    <xf numFmtId="0" fontId="5" fillId="0" borderId="20" xfId="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5" fillId="0" borderId="0" xfId="0" applyFont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0" fillId="0" borderId="13" xfId="0" applyFill="1" applyBorder="1" applyAlignment="1">
      <alignment horizontal="center"/>
    </xf>
    <xf numFmtId="0" fontId="2" fillId="0" borderId="22" xfId="0" applyFont="1" applyBorder="1" applyAlignment="1">
      <alignment horizontal="right"/>
    </xf>
    <xf numFmtId="0" fontId="0" fillId="0" borderId="23" xfId="0" applyBorder="1"/>
    <xf numFmtId="0" fontId="0" fillId="0" borderId="20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31" xfId="0" applyFont="1" applyFill="1" applyBorder="1"/>
    <xf numFmtId="0" fontId="0" fillId="4" borderId="32" xfId="0" applyFill="1" applyBorder="1"/>
    <xf numFmtId="0" fontId="0" fillId="4" borderId="26" xfId="0" applyFill="1" applyBorder="1"/>
    <xf numFmtId="0" fontId="0" fillId="6" borderId="3" xfId="0" applyFill="1" applyBorder="1"/>
    <xf numFmtId="0" fontId="0" fillId="6" borderId="9" xfId="0" applyFill="1" applyBorder="1"/>
    <xf numFmtId="0" fontId="13" fillId="12" borderId="13" xfId="0" applyFont="1" applyFill="1" applyBorder="1"/>
    <xf numFmtId="2" fontId="13" fillId="12" borderId="13" xfId="0" applyNumberFormat="1" applyFont="1" applyFill="1" applyBorder="1"/>
    <xf numFmtId="0" fontId="13" fillId="12" borderId="14" xfId="0" applyFont="1" applyFill="1" applyBorder="1"/>
    <xf numFmtId="2" fontId="13" fillId="12" borderId="14" xfId="0" applyNumberFormat="1" applyFont="1" applyFill="1" applyBorder="1"/>
    <xf numFmtId="164" fontId="0" fillId="6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12" borderId="27" xfId="0" applyFill="1" applyBorder="1"/>
    <xf numFmtId="0" fontId="3" fillId="12" borderId="28" xfId="0" applyFont="1" applyFill="1" applyBorder="1" applyAlignment="1">
      <alignment horizontal="center"/>
    </xf>
    <xf numFmtId="0" fontId="0" fillId="12" borderId="28" xfId="0" applyFill="1" applyBorder="1"/>
    <xf numFmtId="0" fontId="0" fillId="12" borderId="14" xfId="0" applyFill="1" applyBorder="1"/>
    <xf numFmtId="164" fontId="0" fillId="4" borderId="22" xfId="0" applyNumberFormat="1" applyFill="1" applyBorder="1" applyAlignment="1">
      <alignment horizontal="center"/>
    </xf>
    <xf numFmtId="2" fontId="0" fillId="4" borderId="13" xfId="0" applyNumberFormat="1" applyFill="1" applyBorder="1"/>
    <xf numFmtId="164" fontId="0" fillId="4" borderId="13" xfId="0" applyNumberFormat="1" applyFill="1" applyBorder="1" applyAlignment="1">
      <alignment horizontal="right"/>
    </xf>
    <xf numFmtId="164" fontId="0" fillId="4" borderId="13" xfId="0" applyNumberFormat="1" applyFill="1" applyBorder="1"/>
    <xf numFmtId="0" fontId="12" fillId="6" borderId="34" xfId="0" applyFont="1" applyFill="1" applyBorder="1" applyAlignment="1">
      <alignment vertical="center"/>
    </xf>
    <xf numFmtId="0" fontId="12" fillId="6" borderId="20" xfId="0" applyFont="1" applyFill="1" applyBorder="1" applyAlignment="1">
      <alignment vertical="center"/>
    </xf>
    <xf numFmtId="0" fontId="2" fillId="4" borderId="17" xfId="0" applyFont="1" applyFill="1" applyBorder="1" applyAlignment="1">
      <alignment horizontal="right"/>
    </xf>
    <xf numFmtId="0" fontId="0" fillId="4" borderId="18" xfId="0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31" xfId="0" applyFill="1" applyBorder="1" applyAlignment="1"/>
    <xf numFmtId="1" fontId="0" fillId="0" borderId="32" xfId="0" applyNumberFormat="1" applyFill="1" applyBorder="1" applyAlignment="1"/>
    <xf numFmtId="1" fontId="0" fillId="0" borderId="2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0" fillId="12" borderId="3" xfId="0" applyFill="1" applyBorder="1" applyAlignment="1">
      <alignment horizontal="center"/>
    </xf>
    <xf numFmtId="0" fontId="0" fillId="12" borderId="3" xfId="0" applyFill="1" applyBorder="1"/>
    <xf numFmtId="0" fontId="0" fillId="12" borderId="4" xfId="0" applyFill="1" applyBorder="1"/>
    <xf numFmtId="0" fontId="0" fillId="12" borderId="6" xfId="0" applyFill="1" applyBorder="1"/>
    <xf numFmtId="0" fontId="1" fillId="12" borderId="0" xfId="0" applyFont="1" applyFill="1" applyBorder="1"/>
    <xf numFmtId="0" fontId="0" fillId="12" borderId="0" xfId="0" applyFill="1" applyBorder="1"/>
    <xf numFmtId="0" fontId="0" fillId="12" borderId="29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30" xfId="0" applyFill="1" applyBorder="1"/>
    <xf numFmtId="0" fontId="14" fillId="12" borderId="2" xfId="0" applyFont="1" applyFill="1" applyBorder="1"/>
    <xf numFmtId="0" fontId="3" fillId="12" borderId="6" xfId="0" applyFont="1" applyFill="1" applyBorder="1"/>
    <xf numFmtId="0" fontId="0" fillId="12" borderId="0" xfId="0" applyFill="1" applyBorder="1" applyAlignment="1">
      <alignment horizontal="center"/>
    </xf>
    <xf numFmtId="0" fontId="3" fillId="12" borderId="0" xfId="0" applyFont="1" applyFill="1" applyBorder="1"/>
    <xf numFmtId="0" fontId="3" fillId="0" borderId="8" xfId="0" applyFont="1" applyBorder="1"/>
    <xf numFmtId="0" fontId="0" fillId="12" borderId="9" xfId="0" applyFill="1" applyBorder="1" applyAlignment="1"/>
    <xf numFmtId="0" fontId="0" fillId="12" borderId="9" xfId="0" applyFont="1" applyFill="1" applyBorder="1" applyAlignment="1"/>
    <xf numFmtId="0" fontId="6" fillId="12" borderId="9" xfId="0" applyFont="1" applyFill="1" applyBorder="1"/>
    <xf numFmtId="0" fontId="3" fillId="0" borderId="0" xfId="0" applyFont="1" applyBorder="1"/>
    <xf numFmtId="0" fontId="0" fillId="2" borderId="31" xfId="0" applyFill="1" applyBorder="1"/>
    <xf numFmtId="0" fontId="0" fillId="8" borderId="31" xfId="0" applyFill="1" applyBorder="1"/>
    <xf numFmtId="0" fontId="0" fillId="5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3" borderId="31" xfId="0" applyFill="1" applyBorder="1"/>
    <xf numFmtId="0" fontId="16" fillId="6" borderId="33" xfId="0" applyFont="1" applyFill="1" applyBorder="1" applyAlignment="1">
      <alignment horizontal="center"/>
    </xf>
    <xf numFmtId="2" fontId="13" fillId="4" borderId="13" xfId="0" applyNumberFormat="1" applyFont="1" applyFill="1" applyBorder="1"/>
    <xf numFmtId="0" fontId="12" fillId="6" borderId="35" xfId="0" applyFont="1" applyFill="1" applyBorder="1" applyAlignment="1">
      <alignment vertical="center"/>
    </xf>
    <xf numFmtId="0" fontId="13" fillId="12" borderId="27" xfId="0" applyFont="1" applyFill="1" applyBorder="1"/>
    <xf numFmtId="2" fontId="13" fillId="12" borderId="27" xfId="0" applyNumberFormat="1" applyFont="1" applyFill="1" applyBorder="1"/>
    <xf numFmtId="2" fontId="13" fillId="4" borderId="27" xfId="0" applyNumberFormat="1" applyFont="1" applyFill="1" applyBorder="1"/>
    <xf numFmtId="0" fontId="16" fillId="0" borderId="33" xfId="0" applyFont="1" applyBorder="1" applyAlignment="1">
      <alignment horizontal="right"/>
    </xf>
    <xf numFmtId="0" fontId="13" fillId="4" borderId="11" xfId="0" applyFont="1" applyFill="1" applyBorder="1"/>
    <xf numFmtId="2" fontId="13" fillId="4" borderId="36" xfId="0" applyNumberFormat="1" applyFont="1" applyFill="1" applyBorder="1"/>
    <xf numFmtId="2" fontId="13" fillId="4" borderId="26" xfId="0" applyNumberFormat="1" applyFont="1" applyFill="1" applyBorder="1"/>
    <xf numFmtId="0" fontId="0" fillId="4" borderId="13" xfId="0" applyFill="1" applyBorder="1" applyAlignment="1">
      <alignment horizontal="right"/>
    </xf>
    <xf numFmtId="2" fontId="13" fillId="4" borderId="14" xfId="0" applyNumberFormat="1" applyFont="1" applyFill="1" applyBorder="1"/>
    <xf numFmtId="0" fontId="0" fillId="4" borderId="14" xfId="0" applyFill="1" applyBorder="1" applyAlignment="1">
      <alignment horizontal="right"/>
    </xf>
    <xf numFmtId="0" fontId="16" fillId="6" borderId="11" xfId="0" applyFont="1" applyFill="1" applyBorder="1" applyAlignment="1">
      <alignment horizontal="center"/>
    </xf>
    <xf numFmtId="0" fontId="16" fillId="6" borderId="36" xfId="0" applyFont="1" applyFill="1" applyBorder="1" applyAlignment="1">
      <alignment horizontal="center"/>
    </xf>
    <xf numFmtId="0" fontId="16" fillId="6" borderId="26" xfId="0" applyFont="1" applyFill="1" applyBorder="1" applyAlignment="1">
      <alignment horizontal="center"/>
    </xf>
    <xf numFmtId="0" fontId="11" fillId="6" borderId="0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vertical="center"/>
    </xf>
    <xf numFmtId="0" fontId="0" fillId="4" borderId="3" xfId="0" applyFill="1" applyBorder="1"/>
    <xf numFmtId="0" fontId="0" fillId="4" borderId="4" xfId="0" applyFill="1" applyBorder="1" applyAlignment="1">
      <alignment horizontal="right"/>
    </xf>
    <xf numFmtId="0" fontId="0" fillId="4" borderId="29" xfId="0" applyFill="1" applyBorder="1" applyAlignment="1">
      <alignment horizontal="right"/>
    </xf>
    <xf numFmtId="0" fontId="11" fillId="6" borderId="9" xfId="0" applyFont="1" applyFill="1" applyBorder="1" applyAlignment="1">
      <alignment vertical="center"/>
    </xf>
    <xf numFmtId="0" fontId="0" fillId="4" borderId="9" xfId="0" applyFill="1" applyBorder="1"/>
    <xf numFmtId="0" fontId="0" fillId="4" borderId="30" xfId="0" applyFill="1" applyBorder="1" applyAlignment="1">
      <alignment horizontal="right"/>
    </xf>
    <xf numFmtId="164" fontId="0" fillId="2" borderId="26" xfId="0" applyNumberFormat="1" applyFill="1" applyBorder="1"/>
    <xf numFmtId="164" fontId="2" fillId="2" borderId="0" xfId="0" quotePrefix="1" applyNumberFormat="1" applyFont="1" applyFill="1" applyBorder="1"/>
    <xf numFmtId="164" fontId="0" fillId="8" borderId="26" xfId="0" applyNumberFormat="1" applyFill="1" applyBorder="1"/>
    <xf numFmtId="164" fontId="0" fillId="5" borderId="26" xfId="0" applyNumberFormat="1" applyFill="1" applyBorder="1"/>
    <xf numFmtId="164" fontId="2" fillId="5" borderId="0" xfId="0" quotePrefix="1" applyNumberFormat="1" applyFont="1" applyFill="1" applyBorder="1"/>
    <xf numFmtId="164" fontId="2" fillId="9" borderId="26" xfId="0" applyNumberFormat="1" applyFont="1" applyFill="1" applyBorder="1" applyAlignment="1">
      <alignment horizontal="right"/>
    </xf>
    <xf numFmtId="164" fontId="0" fillId="10" borderId="26" xfId="0" applyNumberFormat="1" applyFill="1" applyBorder="1"/>
    <xf numFmtId="164" fontId="0" fillId="3" borderId="26" xfId="0" applyNumberFormat="1" applyFill="1" applyBorder="1"/>
    <xf numFmtId="0" fontId="0" fillId="13" borderId="0" xfId="0" applyFill="1"/>
    <xf numFmtId="0" fontId="0" fillId="13" borderId="6" xfId="0" applyFill="1" applyBorder="1" applyAlignment="1"/>
    <xf numFmtId="165" fontId="0" fillId="13" borderId="0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10" fontId="0" fillId="13" borderId="0" xfId="0" applyNumberFormat="1" applyFill="1" applyBorder="1" applyAlignment="1">
      <alignment horizontal="right"/>
    </xf>
    <xf numFmtId="164" fontId="0" fillId="13" borderId="0" xfId="0" applyNumberFormat="1" applyFill="1" applyBorder="1"/>
    <xf numFmtId="10" fontId="0" fillId="13" borderId="29" xfId="0" applyNumberFormat="1" applyFill="1" applyBorder="1"/>
    <xf numFmtId="0" fontId="2" fillId="13" borderId="0" xfId="0" applyFont="1" applyFill="1" applyBorder="1"/>
    <xf numFmtId="164" fontId="2" fillId="13" borderId="0" xfId="0" quotePrefix="1" applyNumberFormat="1" applyFont="1" applyFill="1" applyBorder="1"/>
    <xf numFmtId="0" fontId="2" fillId="13" borderId="6" xfId="0" applyFont="1" applyFill="1" applyBorder="1" applyAlignment="1"/>
    <xf numFmtId="164" fontId="0" fillId="13" borderId="0" xfId="0" applyNumberFormat="1" applyFill="1" applyBorder="1" applyAlignment="1">
      <alignment horizontal="right"/>
    </xf>
    <xf numFmtId="0" fontId="0" fillId="13" borderId="31" xfId="0" applyFill="1" applyBorder="1"/>
    <xf numFmtId="164" fontId="0" fillId="13" borderId="26" xfId="0" applyNumberFormat="1" applyFill="1" applyBorder="1"/>
    <xf numFmtId="0" fontId="0" fillId="13" borderId="0" xfId="0" applyNumberFormat="1" applyFill="1" applyBorder="1"/>
    <xf numFmtId="0" fontId="0" fillId="13" borderId="0" xfId="0" applyNumberFormat="1" applyFill="1" applyBorder="1" applyAlignment="1">
      <alignment horizontal="center"/>
    </xf>
    <xf numFmtId="0" fontId="0" fillId="13" borderId="0" xfId="0" applyNumberFormat="1" applyFill="1" applyBorder="1" applyAlignment="1">
      <alignment horizontal="right"/>
    </xf>
    <xf numFmtId="0" fontId="18" fillId="0" borderId="0" xfId="2" applyFont="1" applyBorder="1"/>
    <xf numFmtId="0" fontId="18" fillId="0" borderId="0" xfId="2" applyFont="1" applyFill="1" applyBorder="1"/>
    <xf numFmtId="0" fontId="0" fillId="0" borderId="35" xfId="0" applyBorder="1"/>
    <xf numFmtId="0" fontId="0" fillId="0" borderId="27" xfId="0" applyBorder="1"/>
    <xf numFmtId="0" fontId="0" fillId="0" borderId="27" xfId="0" applyFill="1" applyBorder="1" applyAlignment="1">
      <alignment horizontal="left"/>
    </xf>
    <xf numFmtId="0" fontId="0" fillId="0" borderId="27" xfId="0" applyBorder="1" applyAlignment="1">
      <alignment horizontal="center"/>
    </xf>
    <xf numFmtId="10" fontId="0" fillId="0" borderId="0" xfId="0" applyNumberFormat="1" applyBorder="1"/>
    <xf numFmtId="168" fontId="0" fillId="0" borderId="16" xfId="0" applyNumberFormat="1" applyFill="1" applyBorder="1"/>
    <xf numFmtId="168" fontId="0" fillId="0" borderId="16" xfId="0" applyNumberFormat="1" applyBorder="1"/>
    <xf numFmtId="168" fontId="2" fillId="0" borderId="16" xfId="0" applyNumberFormat="1" applyFont="1" applyFill="1" applyBorder="1"/>
    <xf numFmtId="169" fontId="0" fillId="0" borderId="13" xfId="0" applyNumberFormat="1" applyFill="1" applyBorder="1" applyAlignment="1">
      <alignment horizontal="center"/>
    </xf>
    <xf numFmtId="169" fontId="0" fillId="0" borderId="13" xfId="0" applyNumberFormat="1" applyBorder="1"/>
    <xf numFmtId="169" fontId="0" fillId="0" borderId="13" xfId="0" applyNumberFormat="1" applyBorder="1" applyAlignment="1">
      <alignment horizontal="center"/>
    </xf>
    <xf numFmtId="0" fontId="0" fillId="15" borderId="20" xfId="0" applyFill="1" applyBorder="1"/>
    <xf numFmtId="0" fontId="2" fillId="15" borderId="20" xfId="0" applyFont="1" applyFill="1" applyBorder="1"/>
    <xf numFmtId="0" fontId="0" fillId="15" borderId="13" xfId="0" applyFill="1" applyBorder="1"/>
    <xf numFmtId="0" fontId="2" fillId="15" borderId="13" xfId="0" applyFont="1" applyFill="1" applyBorder="1"/>
    <xf numFmtId="0" fontId="0" fillId="15" borderId="16" xfId="0" applyFill="1" applyBorder="1"/>
    <xf numFmtId="0" fontId="1" fillId="0" borderId="20" xfId="0" applyFont="1" applyBorder="1"/>
    <xf numFmtId="0" fontId="0" fillId="15" borderId="0" xfId="0" applyFill="1"/>
    <xf numFmtId="168" fontId="0" fillId="0" borderId="0" xfId="0" applyNumberFormat="1" applyFill="1" applyBorder="1"/>
    <xf numFmtId="168" fontId="0" fillId="0" borderId="0" xfId="0" applyNumberFormat="1" applyBorder="1"/>
    <xf numFmtId="168" fontId="2" fillId="0" borderId="0" xfId="0" applyNumberFormat="1" applyFont="1" applyFill="1" applyBorder="1"/>
    <xf numFmtId="0" fontId="0" fillId="0" borderId="27" xfId="0" applyFont="1" applyBorder="1" applyAlignment="1">
      <alignment horizontal="center"/>
    </xf>
    <xf numFmtId="0" fontId="5" fillId="0" borderId="0" xfId="0" applyFont="1" applyBorder="1"/>
    <xf numFmtId="0" fontId="0" fillId="16" borderId="0" xfId="0" applyFill="1" applyBorder="1" applyAlignment="1">
      <alignment horizontal="left"/>
    </xf>
    <xf numFmtId="0" fontId="0" fillId="16" borderId="6" xfId="0" applyFill="1" applyBorder="1" applyAlignment="1">
      <alignment horizontal="right"/>
    </xf>
    <xf numFmtId="0" fontId="0" fillId="16" borderId="31" xfId="0" applyFill="1" applyBorder="1"/>
    <xf numFmtId="164" fontId="0" fillId="16" borderId="26" xfId="0" applyNumberFormat="1" applyFill="1" applyBorder="1"/>
    <xf numFmtId="0" fontId="0" fillId="16" borderId="0" xfId="0" applyFill="1" applyBorder="1"/>
    <xf numFmtId="165" fontId="0" fillId="16" borderId="0" xfId="0" applyNumberFormat="1" applyFill="1" applyBorder="1"/>
    <xf numFmtId="0" fontId="0" fillId="16" borderId="0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10" fontId="0" fillId="16" borderId="0" xfId="0" applyNumberFormat="1" applyFill="1" applyBorder="1" applyAlignment="1">
      <alignment horizontal="right"/>
    </xf>
    <xf numFmtId="164" fontId="0" fillId="16" borderId="0" xfId="0" applyNumberFormat="1" applyFill="1" applyBorder="1"/>
    <xf numFmtId="0" fontId="2" fillId="16" borderId="0" xfId="0" applyFont="1" applyFill="1" applyBorder="1"/>
    <xf numFmtId="10" fontId="0" fillId="16" borderId="29" xfId="0" applyNumberFormat="1" applyFill="1" applyBorder="1"/>
    <xf numFmtId="0" fontId="0" fillId="16" borderId="0" xfId="0" applyNumberFormat="1" applyFill="1" applyBorder="1"/>
    <xf numFmtId="0" fontId="0" fillId="16" borderId="0" xfId="0" applyFill="1"/>
    <xf numFmtId="0" fontId="0" fillId="16" borderId="0" xfId="0" applyFill="1" applyBorder="1" applyAlignment="1">
      <alignment horizontal="right"/>
    </xf>
    <xf numFmtId="165" fontId="0" fillId="3" borderId="0" xfId="0" applyNumberFormat="1" applyFill="1" applyBorder="1" applyAlignment="1"/>
    <xf numFmtId="0" fontId="0" fillId="3" borderId="0" xfId="0" applyFill="1" applyBorder="1" applyAlignment="1"/>
    <xf numFmtId="0" fontId="0" fillId="0" borderId="0" xfId="0" applyAlignment="1">
      <alignment horizontal="left" vertical="top"/>
    </xf>
    <xf numFmtId="0" fontId="0" fillId="0" borderId="2" xfId="0" applyBorder="1" applyAlignment="1"/>
    <xf numFmtId="0" fontId="14" fillId="12" borderId="3" xfId="0" applyFont="1" applyFill="1" applyBorder="1" applyAlignment="1"/>
    <xf numFmtId="0" fontId="0" fillId="12" borderId="3" xfId="0" applyFill="1" applyBorder="1" applyAlignment="1"/>
    <xf numFmtId="0" fontId="3" fillId="12" borderId="3" xfId="0" applyFont="1" applyFill="1" applyBorder="1" applyAlignment="1"/>
    <xf numFmtId="0" fontId="0" fillId="12" borderId="4" xfId="0" applyFill="1" applyBorder="1" applyAlignment="1"/>
    <xf numFmtId="0" fontId="0" fillId="0" borderId="8" xfId="0" applyBorder="1" applyAlignment="1"/>
    <xf numFmtId="0" fontId="3" fillId="0" borderId="9" xfId="0" applyFont="1" applyBorder="1" applyAlignment="1"/>
    <xf numFmtId="0" fontId="0" fillId="0" borderId="9" xfId="0" applyBorder="1" applyAlignment="1"/>
    <xf numFmtId="0" fontId="2" fillId="12" borderId="9" xfId="0" applyFont="1" applyFill="1" applyBorder="1" applyAlignment="1"/>
    <xf numFmtId="0" fontId="0" fillId="12" borderId="30" xfId="0" applyFill="1" applyBorder="1" applyAlignment="1"/>
    <xf numFmtId="0" fontId="0" fillId="0" borderId="0" xfId="0" applyBorder="1" applyAlignment="1"/>
    <xf numFmtId="0" fontId="3" fillId="0" borderId="0" xfId="0" applyFont="1" applyBorder="1" applyAlignment="1"/>
    <xf numFmtId="0" fontId="2" fillId="12" borderId="0" xfId="0" applyFont="1" applyFill="1" applyBorder="1" applyAlignment="1"/>
    <xf numFmtId="0" fontId="0" fillId="12" borderId="0" xfId="0" applyFill="1" applyBorder="1" applyAlignment="1"/>
    <xf numFmtId="0" fontId="0" fillId="4" borderId="19" xfId="0" applyFill="1" applyBorder="1" applyAlignment="1"/>
    <xf numFmtId="0" fontId="2" fillId="0" borderId="0" xfId="0" applyFont="1" applyAlignment="1"/>
    <xf numFmtId="0" fontId="0" fillId="0" borderId="16" xfId="0" applyBorder="1" applyAlignment="1"/>
    <xf numFmtId="0" fontId="10" fillId="0" borderId="20" xfId="0" applyFont="1" applyBorder="1" applyAlignment="1"/>
    <xf numFmtId="0" fontId="10" fillId="0" borderId="16" xfId="0" applyFont="1" applyBorder="1" applyAlignment="1"/>
    <xf numFmtId="0" fontId="0" fillId="0" borderId="20" xfId="0" applyBorder="1" applyAlignment="1"/>
    <xf numFmtId="0" fontId="2" fillId="4" borderId="16" xfId="0" applyFont="1" applyFill="1" applyBorder="1" applyAlignment="1"/>
    <xf numFmtId="0" fontId="0" fillId="0" borderId="6" xfId="0" applyBorder="1" applyAlignment="1"/>
    <xf numFmtId="0" fontId="2" fillId="0" borderId="29" xfId="0" applyFont="1" applyBorder="1" applyAlignment="1"/>
    <xf numFmtId="0" fontId="9" fillId="0" borderId="6" xfId="0" applyFont="1" applyBorder="1" applyAlignment="1"/>
    <xf numFmtId="0" fontId="2" fillId="0" borderId="6" xfId="0" applyFont="1" applyBorder="1" applyAlignment="1"/>
    <xf numFmtId="0" fontId="0" fillId="0" borderId="29" xfId="0" applyBorder="1" applyAlignment="1"/>
    <xf numFmtId="0" fontId="2" fillId="0" borderId="8" xfId="0" applyFont="1" applyBorder="1" applyAlignment="1"/>
    <xf numFmtId="0" fontId="0" fillId="0" borderId="30" xfId="0" applyBorder="1" applyAlignment="1"/>
    <xf numFmtId="0" fontId="0" fillId="0" borderId="0" xfId="0" applyAlignment="1">
      <alignment vertical="center"/>
    </xf>
    <xf numFmtId="0" fontId="0" fillId="0" borderId="13" xfId="0" applyFill="1" applyBorder="1" applyAlignment="1"/>
    <xf numFmtId="0" fontId="2" fillId="15" borderId="20" xfId="0" applyFont="1" applyFill="1" applyBorder="1" applyAlignment="1"/>
    <xf numFmtId="0" fontId="0" fillId="15" borderId="13" xfId="0" applyFill="1" applyBorder="1" applyAlignment="1"/>
    <xf numFmtId="2" fontId="0" fillId="0" borderId="37" xfId="0" applyNumberFormat="1" applyBorder="1" applyAlignment="1">
      <alignment horizontal="center"/>
    </xf>
    <xf numFmtId="0" fontId="0" fillId="7" borderId="7" xfId="0" applyFill="1" applyBorder="1"/>
    <xf numFmtId="164" fontId="0" fillId="7" borderId="30" xfId="0" applyNumberFormat="1" applyFill="1" applyBorder="1"/>
    <xf numFmtId="164" fontId="0" fillId="6" borderId="29" xfId="0" applyNumberFormat="1" applyFill="1" applyBorder="1"/>
    <xf numFmtId="0" fontId="1" fillId="0" borderId="38" xfId="0" applyFont="1" applyBorder="1" applyAlignment="1">
      <alignment horizontal="center"/>
    </xf>
    <xf numFmtId="164" fontId="0" fillId="4" borderId="29" xfId="0" applyNumberFormat="1" applyFont="1" applyFill="1" applyBorder="1"/>
    <xf numFmtId="0" fontId="0" fillId="6" borderId="7" xfId="0" applyFill="1" applyBorder="1"/>
    <xf numFmtId="0" fontId="0" fillId="10" borderId="0" xfId="0" applyFill="1" applyBorder="1" applyAlignment="1">
      <alignment wrapText="1"/>
    </xf>
    <xf numFmtId="165" fontId="0" fillId="0" borderId="0" xfId="0" applyNumberFormat="1" applyAlignment="1"/>
    <xf numFmtId="164" fontId="0" fillId="0" borderId="0" xfId="0" applyNumberFormat="1" applyAlignment="1"/>
    <xf numFmtId="0" fontId="0" fillId="0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6" xfId="0" applyFill="1" applyBorder="1" applyAlignment="1"/>
    <xf numFmtId="0" fontId="0" fillId="2" borderId="31" xfId="0" applyFill="1" applyBorder="1" applyAlignment="1"/>
    <xf numFmtId="164" fontId="0" fillId="2" borderId="26" xfId="0" applyNumberFormat="1" applyFill="1" applyBorder="1" applyAlignment="1"/>
    <xf numFmtId="164" fontId="0" fillId="2" borderId="0" xfId="0" applyNumberFormat="1" applyFill="1" applyBorder="1" applyAlignment="1"/>
    <xf numFmtId="165" fontId="0" fillId="2" borderId="0" xfId="0" applyNumberFormat="1" applyFill="1" applyBorder="1" applyAlignment="1"/>
    <xf numFmtId="0" fontId="2" fillId="2" borderId="0" xfId="0" applyFont="1" applyFill="1" applyBorder="1" applyAlignment="1"/>
    <xf numFmtId="0" fontId="0" fillId="2" borderId="0" xfId="0" applyFill="1" applyBorder="1" applyAlignment="1"/>
    <xf numFmtId="0" fontId="0" fillId="2" borderId="29" xfId="0" applyFill="1" applyBorder="1" applyAlignment="1"/>
    <xf numFmtId="164" fontId="2" fillId="2" borderId="0" xfId="0" quotePrefix="1" applyNumberFormat="1" applyFont="1" applyFill="1" applyBorder="1" applyAlignment="1"/>
    <xf numFmtId="0" fontId="3" fillId="0" borderId="13" xfId="0" applyFont="1" applyFill="1" applyBorder="1" applyAlignment="1"/>
    <xf numFmtId="164" fontId="0" fillId="0" borderId="13" xfId="0" applyNumberFormat="1" applyFill="1" applyBorder="1" applyAlignment="1"/>
    <xf numFmtId="166" fontId="0" fillId="0" borderId="0" xfId="0" applyNumberFormat="1" applyFill="1" applyAlignment="1"/>
    <xf numFmtId="164" fontId="0" fillId="0" borderId="0" xfId="0" applyNumberFormat="1" applyFill="1" applyAlignment="1"/>
    <xf numFmtId="166" fontId="0" fillId="0" borderId="13" xfId="0" applyNumberFormat="1" applyFill="1" applyBorder="1" applyAlignment="1"/>
    <xf numFmtId="0" fontId="2" fillId="0" borderId="0" xfId="0" applyFont="1" applyFill="1" applyAlignment="1"/>
    <xf numFmtId="164" fontId="2" fillId="2" borderId="0" xfId="0" applyNumberFormat="1" applyFont="1" applyFill="1" applyBorder="1" applyAlignment="1"/>
    <xf numFmtId="10" fontId="0" fillId="2" borderId="29" xfId="0" applyNumberFormat="1" applyFill="1" applyBorder="1" applyAlignment="1"/>
    <xf numFmtId="0" fontId="0" fillId="8" borderId="31" xfId="0" applyFill="1" applyBorder="1" applyAlignment="1"/>
    <xf numFmtId="164" fontId="0" fillId="8" borderId="26" xfId="0" applyNumberFormat="1" applyFill="1" applyBorder="1" applyAlignment="1"/>
    <xf numFmtId="164" fontId="0" fillId="8" borderId="0" xfId="0" applyNumberFormat="1" applyFill="1" applyBorder="1" applyAlignment="1"/>
    <xf numFmtId="165" fontId="0" fillId="8" borderId="0" xfId="0" applyNumberFormat="1" applyFill="1" applyBorder="1" applyAlignment="1"/>
    <xf numFmtId="0" fontId="0" fillId="8" borderId="0" xfId="0" applyFill="1" applyBorder="1" applyAlignment="1"/>
    <xf numFmtId="0" fontId="0" fillId="8" borderId="0" xfId="0" applyNumberFormat="1" applyFill="1" applyBorder="1" applyAlignment="1"/>
    <xf numFmtId="0" fontId="2" fillId="8" borderId="0" xfId="0" applyFont="1" applyFill="1" applyBorder="1" applyAlignment="1"/>
    <xf numFmtId="167" fontId="0" fillId="8" borderId="0" xfId="0" applyNumberFormat="1" applyFill="1" applyBorder="1" applyAlignment="1"/>
    <xf numFmtId="10" fontId="0" fillId="8" borderId="29" xfId="0" applyNumberFormat="1" applyFill="1" applyBorder="1" applyAlignment="1"/>
    <xf numFmtId="167" fontId="2" fillId="8" borderId="0" xfId="0" applyNumberFormat="1" applyFont="1" applyFill="1" applyBorder="1" applyAlignment="1"/>
    <xf numFmtId="0" fontId="7" fillId="0" borderId="0" xfId="0" applyFont="1" applyFill="1" applyAlignment="1"/>
    <xf numFmtId="0" fontId="0" fillId="5" borderId="31" xfId="0" applyFill="1" applyBorder="1" applyAlignment="1"/>
    <xf numFmtId="164" fontId="0" fillId="5" borderId="26" xfId="0" applyNumberFormat="1" applyFill="1" applyBorder="1" applyAlignment="1"/>
    <xf numFmtId="164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0" fillId="5" borderId="0" xfId="0" applyFill="1" applyBorder="1" applyAlignment="1"/>
    <xf numFmtId="0" fontId="0" fillId="5" borderId="0" xfId="0" applyNumberFormat="1" applyFill="1" applyBorder="1" applyAlignment="1"/>
    <xf numFmtId="0" fontId="2" fillId="5" borderId="0" xfId="0" applyFont="1" applyFill="1" applyBorder="1" applyAlignment="1"/>
    <xf numFmtId="167" fontId="0" fillId="5" borderId="0" xfId="0" applyNumberFormat="1" applyFill="1" applyBorder="1" applyAlignment="1"/>
    <xf numFmtId="10" fontId="0" fillId="5" borderId="29" xfId="0" applyNumberFormat="1" applyFill="1" applyBorder="1" applyAlignment="1"/>
    <xf numFmtId="164" fontId="2" fillId="5" borderId="0" xfId="0" quotePrefix="1" applyNumberFormat="1" applyFont="1" applyFill="1" applyBorder="1" applyAlignment="1"/>
    <xf numFmtId="167" fontId="2" fillId="5" borderId="0" xfId="0" applyNumberFormat="1" applyFont="1" applyFill="1" applyBorder="1" applyAlignment="1"/>
    <xf numFmtId="0" fontId="0" fillId="9" borderId="31" xfId="0" applyFill="1" applyBorder="1" applyAlignment="1"/>
    <xf numFmtId="0" fontId="0" fillId="9" borderId="0" xfId="0" applyFill="1" applyBorder="1" applyAlignment="1"/>
    <xf numFmtId="165" fontId="0" fillId="9" borderId="0" xfId="0" applyNumberFormat="1" applyFill="1" applyBorder="1" applyAlignment="1"/>
    <xf numFmtId="0" fontId="2" fillId="9" borderId="0" xfId="0" applyFont="1" applyFill="1" applyBorder="1" applyAlignment="1"/>
    <xf numFmtId="0" fontId="0" fillId="9" borderId="0" xfId="0" applyNumberFormat="1" applyFill="1" applyBorder="1" applyAlignment="1"/>
    <xf numFmtId="164" fontId="0" fillId="9" borderId="0" xfId="0" applyNumberFormat="1" applyFill="1" applyBorder="1" applyAlignment="1"/>
    <xf numFmtId="0" fontId="8" fillId="9" borderId="0" xfId="0" applyFont="1" applyFill="1" applyBorder="1" applyAlignment="1"/>
    <xf numFmtId="10" fontId="0" fillId="9" borderId="29" xfId="0" applyNumberFormat="1" applyFill="1" applyBorder="1" applyAlignment="1"/>
    <xf numFmtId="0" fontId="0" fillId="10" borderId="31" xfId="0" applyFill="1" applyBorder="1" applyAlignment="1"/>
    <xf numFmtId="164" fontId="0" fillId="10" borderId="26" xfId="0" applyNumberFormat="1" applyFill="1" applyBorder="1" applyAlignment="1"/>
    <xf numFmtId="0" fontId="0" fillId="10" borderId="0" xfId="0" applyFill="1" applyBorder="1" applyAlignment="1"/>
    <xf numFmtId="165" fontId="0" fillId="10" borderId="0" xfId="0" applyNumberFormat="1" applyFill="1" applyBorder="1" applyAlignment="1"/>
    <xf numFmtId="0" fontId="0" fillId="10" borderId="0" xfId="0" applyNumberFormat="1" applyFill="1" applyBorder="1" applyAlignment="1"/>
    <xf numFmtId="10" fontId="0" fillId="10" borderId="29" xfId="0" applyNumberFormat="1" applyFill="1" applyBorder="1" applyAlignment="1"/>
    <xf numFmtId="0" fontId="0" fillId="13" borderId="31" xfId="0" applyFill="1" applyBorder="1" applyAlignment="1"/>
    <xf numFmtId="164" fontId="0" fillId="13" borderId="26" xfId="0" applyNumberFormat="1" applyFill="1" applyBorder="1" applyAlignment="1"/>
    <xf numFmtId="0" fontId="0" fillId="13" borderId="0" xfId="0" applyFill="1" applyBorder="1" applyAlignment="1"/>
    <xf numFmtId="165" fontId="0" fillId="13" borderId="0" xfId="0" applyNumberFormat="1" applyFill="1" applyBorder="1" applyAlignment="1"/>
    <xf numFmtId="0" fontId="0" fillId="13" borderId="0" xfId="0" applyNumberFormat="1" applyFill="1" applyBorder="1" applyAlignment="1"/>
    <xf numFmtId="164" fontId="0" fillId="13" borderId="0" xfId="0" applyNumberFormat="1" applyFill="1" applyBorder="1" applyAlignment="1"/>
    <xf numFmtId="10" fontId="0" fillId="13" borderId="29" xfId="0" applyNumberFormat="1" applyFill="1" applyBorder="1" applyAlignment="1"/>
    <xf numFmtId="0" fontId="0" fillId="13" borderId="0" xfId="0" applyFill="1" applyAlignment="1"/>
    <xf numFmtId="0" fontId="2" fillId="13" borderId="0" xfId="0" applyFont="1" applyFill="1" applyBorder="1" applyAlignment="1"/>
    <xf numFmtId="164" fontId="2" fillId="13" borderId="0" xfId="0" quotePrefix="1" applyNumberFormat="1" applyFont="1" applyFill="1" applyBorder="1" applyAlignment="1"/>
    <xf numFmtId="0" fontId="0" fillId="3" borderId="31" xfId="0" applyFill="1" applyBorder="1" applyAlignment="1"/>
    <xf numFmtId="164" fontId="0" fillId="3" borderId="26" xfId="0" applyNumberFormat="1" applyFill="1" applyBorder="1" applyAlignment="1"/>
    <xf numFmtId="167" fontId="2" fillId="3" borderId="0" xfId="0" applyNumberFormat="1" applyFont="1" applyFill="1" applyBorder="1" applyAlignment="1"/>
    <xf numFmtId="164" fontId="0" fillId="3" borderId="0" xfId="0" applyNumberFormat="1" applyFill="1" applyBorder="1" applyAlignment="1"/>
    <xf numFmtId="10" fontId="0" fillId="3" borderId="29" xfId="0" applyNumberFormat="1" applyFill="1" applyBorder="1" applyAlignment="1"/>
    <xf numFmtId="0" fontId="2" fillId="3" borderId="0" xfId="0" applyFont="1" applyFill="1" applyBorder="1" applyAlignment="1"/>
    <xf numFmtId="0" fontId="0" fillId="16" borderId="31" xfId="0" applyFill="1" applyBorder="1" applyAlignment="1"/>
    <xf numFmtId="164" fontId="0" fillId="16" borderId="26" xfId="0" applyNumberFormat="1" applyFill="1" applyBorder="1" applyAlignment="1"/>
    <xf numFmtId="0" fontId="0" fillId="16" borderId="0" xfId="0" applyFill="1" applyBorder="1" applyAlignment="1"/>
    <xf numFmtId="165" fontId="0" fillId="16" borderId="0" xfId="0" applyNumberFormat="1" applyFill="1" applyBorder="1" applyAlignment="1"/>
    <xf numFmtId="164" fontId="0" fillId="16" borderId="0" xfId="0" applyNumberFormat="1" applyFill="1" applyBorder="1" applyAlignment="1"/>
    <xf numFmtId="0" fontId="2" fillId="16" borderId="0" xfId="0" applyFont="1" applyFill="1" applyBorder="1" applyAlignment="1"/>
    <xf numFmtId="10" fontId="0" fillId="16" borderId="29" xfId="0" applyNumberFormat="1" applyFill="1" applyBorder="1" applyAlignment="1"/>
    <xf numFmtId="0" fontId="0" fillId="16" borderId="0" xfId="0" applyNumberFormat="1" applyFill="1" applyBorder="1" applyAlignment="1"/>
    <xf numFmtId="0" fontId="0" fillId="16" borderId="0" xfId="0" applyFill="1" applyAlignment="1"/>
    <xf numFmtId="0" fontId="0" fillId="0" borderId="0" xfId="0" quotePrefix="1" applyFill="1" applyAlignment="1"/>
    <xf numFmtId="0" fontId="0" fillId="3" borderId="6" xfId="0" applyFill="1" applyBorder="1" applyAlignment="1"/>
    <xf numFmtId="0" fontId="0" fillId="3" borderId="0" xfId="0" applyNumberFormat="1" applyFill="1" applyBorder="1" applyAlignment="1"/>
    <xf numFmtId="0" fontId="0" fillId="3" borderId="29" xfId="0" applyFill="1" applyBorder="1" applyAlignment="1"/>
    <xf numFmtId="164" fontId="0" fillId="10" borderId="0" xfId="0" applyNumberFormat="1" applyFill="1" applyBorder="1" applyAlignment="1"/>
    <xf numFmtId="0" fontId="2" fillId="10" borderId="0" xfId="0" applyFont="1" applyFill="1" applyBorder="1" applyAlignment="1"/>
    <xf numFmtId="0" fontId="0" fillId="10" borderId="29" xfId="0" applyFill="1" applyBorder="1" applyAlignment="1"/>
    <xf numFmtId="0" fontId="0" fillId="0" borderId="6" xfId="0" applyFill="1" applyBorder="1" applyAlignment="1"/>
    <xf numFmtId="165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/>
    <xf numFmtId="164" fontId="0" fillId="0" borderId="0" xfId="0" applyNumberFormat="1" applyFill="1" applyBorder="1" applyAlignment="1"/>
    <xf numFmtId="0" fontId="0" fillId="0" borderId="29" xfId="0" applyFill="1" applyBorder="1" applyAlignment="1"/>
    <xf numFmtId="0" fontId="3" fillId="0" borderId="6" xfId="0" applyFont="1" applyFill="1" applyBorder="1" applyAlignment="1"/>
    <xf numFmtId="0" fontId="0" fillId="8" borderId="29" xfId="0" applyFill="1" applyBorder="1" applyAlignment="1"/>
    <xf numFmtId="0" fontId="0" fillId="5" borderId="29" xfId="0" applyFill="1" applyBorder="1" applyAlignment="1"/>
    <xf numFmtId="167" fontId="0" fillId="2" borderId="0" xfId="0" applyNumberFormat="1" applyFill="1" applyBorder="1" applyAlignment="1"/>
    <xf numFmtId="0" fontId="0" fillId="2" borderId="0" xfId="0" applyNumberFormat="1" applyFill="1" applyBorder="1" applyAlignment="1"/>
    <xf numFmtId="0" fontId="0" fillId="10" borderId="8" xfId="0" applyFill="1" applyBorder="1" applyAlignment="1"/>
    <xf numFmtId="0" fontId="0" fillId="10" borderId="9" xfId="0" applyFill="1" applyBorder="1" applyAlignment="1"/>
    <xf numFmtId="165" fontId="0" fillId="10" borderId="9" xfId="0" applyNumberFormat="1" applyFill="1" applyBorder="1" applyAlignment="1"/>
    <xf numFmtId="0" fontId="2" fillId="10" borderId="9" xfId="0" applyFont="1" applyFill="1" applyBorder="1" applyAlignment="1"/>
    <xf numFmtId="164" fontId="0" fillId="10" borderId="9" xfId="0" applyNumberFormat="1" applyFill="1" applyBorder="1" applyAlignment="1"/>
    <xf numFmtId="0" fontId="0" fillId="10" borderId="30" xfId="0" applyFill="1" applyBorder="1" applyAlignment="1"/>
    <xf numFmtId="10" fontId="0" fillId="0" borderId="0" xfId="0" applyNumberFormat="1" applyAlignment="1"/>
    <xf numFmtId="0" fontId="2" fillId="0" borderId="2" xfId="0" applyFont="1" applyBorder="1" applyAlignment="1"/>
    <xf numFmtId="165" fontId="0" fillId="0" borderId="4" xfId="0" applyNumberFormat="1" applyBorder="1" applyAlignment="1"/>
    <xf numFmtId="164" fontId="0" fillId="11" borderId="29" xfId="0" applyNumberFormat="1" applyFill="1" applyBorder="1" applyAlignment="1"/>
    <xf numFmtId="164" fontId="0" fillId="11" borderId="30" xfId="0" applyNumberFormat="1" applyFill="1" applyBorder="1" applyAlignment="1"/>
    <xf numFmtId="0" fontId="3" fillId="0" borderId="0" xfId="0" applyFont="1" applyAlignment="1"/>
    <xf numFmtId="0" fontId="0" fillId="0" borderId="0" xfId="0" applyNumberFormat="1" applyAlignment="1"/>
    <xf numFmtId="0" fontId="0" fillId="14" borderId="20" xfId="0" applyFill="1" applyBorder="1"/>
    <xf numFmtId="0" fontId="0" fillId="14" borderId="13" xfId="0" applyFill="1" applyBorder="1"/>
    <xf numFmtId="0" fontId="0" fillId="14" borderId="13" xfId="0" applyFill="1" applyBorder="1" applyAlignment="1">
      <alignment horizontal="left"/>
    </xf>
    <xf numFmtId="0" fontId="0" fillId="14" borderId="13" xfId="0" applyFill="1" applyBorder="1" applyAlignment="1">
      <alignment horizontal="center"/>
    </xf>
    <xf numFmtId="169" fontId="0" fillId="14" borderId="13" xfId="0" applyNumberFormat="1" applyFill="1" applyBorder="1" applyAlignment="1">
      <alignment horizontal="center"/>
    </xf>
    <xf numFmtId="168" fontId="0" fillId="14" borderId="16" xfId="0" applyNumberFormat="1" applyFill="1" applyBorder="1"/>
    <xf numFmtId="0" fontId="0" fillId="14" borderId="27" xfId="0" applyFill="1" applyBorder="1"/>
    <xf numFmtId="0" fontId="0" fillId="14" borderId="27" xfId="0" applyFill="1" applyBorder="1" applyAlignment="1">
      <alignment horizontal="left"/>
    </xf>
    <xf numFmtId="0" fontId="0" fillId="14" borderId="27" xfId="0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0" fontId="0" fillId="14" borderId="35" xfId="0" applyFill="1" applyBorder="1"/>
    <xf numFmtId="165" fontId="18" fillId="0" borderId="0" xfId="2" applyNumberFormat="1" applyFont="1" applyFill="1" applyBorder="1"/>
    <xf numFmtId="0" fontId="1" fillId="0" borderId="0" xfId="0" applyFont="1" applyBorder="1"/>
    <xf numFmtId="170" fontId="0" fillId="4" borderId="29" xfId="0" applyNumberFormat="1" applyFont="1" applyFill="1" applyBorder="1"/>
    <xf numFmtId="170" fontId="0" fillId="6" borderId="29" xfId="0" applyNumberFormat="1" applyFill="1" applyBorder="1"/>
    <xf numFmtId="170" fontId="0" fillId="4" borderId="29" xfId="0" applyNumberFormat="1" applyFill="1" applyBorder="1"/>
    <xf numFmtId="170" fontId="0" fillId="6" borderId="30" xfId="0" applyNumberFormat="1" applyFill="1" applyBorder="1"/>
    <xf numFmtId="0" fontId="0" fillId="0" borderId="0" xfId="0" applyFill="1" applyAlignment="1">
      <alignment horizontal="center"/>
    </xf>
    <xf numFmtId="0" fontId="3" fillId="0" borderId="17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3" fillId="0" borderId="0" xfId="0" applyFont="1" applyFill="1" applyBorder="1"/>
    <xf numFmtId="0" fontId="4" fillId="0" borderId="20" xfId="0" applyFont="1" applyFill="1" applyBorder="1"/>
    <xf numFmtId="168" fontId="0" fillId="0" borderId="13" xfId="0" applyNumberFormat="1" applyFill="1" applyBorder="1" applyAlignment="1">
      <alignment horizontal="center"/>
    </xf>
    <xf numFmtId="10" fontId="0" fillId="0" borderId="16" xfId="0" applyNumberFormat="1" applyFill="1" applyBorder="1"/>
    <xf numFmtId="10" fontId="0" fillId="0" borderId="0" xfId="0" applyNumberFormat="1" applyFill="1" applyBorder="1"/>
    <xf numFmtId="0" fontId="0" fillId="0" borderId="13" xfId="0" applyFill="1" applyBorder="1" applyAlignment="1">
      <alignment horizontal="left"/>
    </xf>
    <xf numFmtId="169" fontId="0" fillId="0" borderId="13" xfId="0" applyNumberFormat="1" applyFill="1" applyBorder="1"/>
    <xf numFmtId="0" fontId="1" fillId="0" borderId="20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27" xfId="0" applyFill="1" applyBorder="1"/>
    <xf numFmtId="0" fontId="0" fillId="0" borderId="27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35" xfId="0" applyFill="1" applyBorder="1"/>
    <xf numFmtId="0" fontId="2" fillId="0" borderId="22" xfId="0" applyFont="1" applyFill="1" applyBorder="1"/>
    <xf numFmtId="10" fontId="0" fillId="0" borderId="23" xfId="0" applyNumberFormat="1" applyFill="1" applyBorder="1"/>
    <xf numFmtId="0" fontId="1" fillId="14" borderId="20" xfId="0" applyFont="1" applyFill="1" applyBorder="1"/>
    <xf numFmtId="0" fontId="0" fillId="17" borderId="0" xfId="0" applyFill="1" applyBorder="1"/>
    <xf numFmtId="0" fontId="0" fillId="18" borderId="0" xfId="0" applyFill="1" applyBorder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/>
    <xf numFmtId="0" fontId="21" fillId="0" borderId="0" xfId="0" applyFont="1" applyAlignment="1"/>
    <xf numFmtId="0" fontId="23" fillId="12" borderId="2" xfId="0" applyFont="1" applyFill="1" applyBorder="1"/>
    <xf numFmtId="0" fontId="20" fillId="12" borderId="2" xfId="0" applyFont="1" applyFill="1" applyBorder="1"/>
    <xf numFmtId="0" fontId="0" fillId="12" borderId="2" xfId="0" applyFill="1" applyBorder="1"/>
    <xf numFmtId="0" fontId="0" fillId="12" borderId="8" xfId="0" applyFill="1" applyBorder="1" applyAlignment="1"/>
    <xf numFmtId="0" fontId="0" fillId="0" borderId="9" xfId="0" applyBorder="1"/>
    <xf numFmtId="0" fontId="0" fillId="0" borderId="30" xfId="0" applyBorder="1"/>
    <xf numFmtId="0" fontId="23" fillId="0" borderId="0" xfId="0" applyFont="1"/>
    <xf numFmtId="0" fontId="0" fillId="17" borderId="13" xfId="0" applyFill="1" applyBorder="1"/>
    <xf numFmtId="167" fontId="0" fillId="0" borderId="13" xfId="0" applyNumberFormat="1" applyBorder="1"/>
    <xf numFmtId="0" fontId="0" fillId="18" borderId="13" xfId="0" applyFill="1" applyBorder="1"/>
    <xf numFmtId="0" fontId="1" fillId="0" borderId="31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5">
    <cellStyle name="Hipervínculo" xfId="3" builtinId="8" hidden="1"/>
    <cellStyle name="Hipervínculo visitado" xfId="4" builtinId="9" hidden="1"/>
    <cellStyle name="Normal" xfId="0" builtinId="0"/>
    <cellStyle name="Normal 2" xfId="2"/>
    <cellStyle name="Standard_identifizierte Lipide Stamm K-A 0 Prozent BuOH" xfId="1"/>
  </cellStyles>
  <dxfs count="0"/>
  <tableStyles count="0" defaultTableStyle="TableStyleMedium2" defaultPivotStyle="PivotStyleLight16"/>
  <colors>
    <mruColors>
      <color rgb="FFA7D8E3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G17" sqref="G17"/>
    </sheetView>
  </sheetViews>
  <sheetFormatPr baseColWidth="10" defaultColWidth="9.140625" defaultRowHeight="15" x14ac:dyDescent="0.25"/>
  <cols>
    <col min="2" max="2" width="18.7109375" customWidth="1"/>
    <col min="3" max="3" width="12.140625" customWidth="1"/>
    <col min="4" max="4" width="20.140625" customWidth="1"/>
    <col min="5" max="5" width="22.42578125" customWidth="1"/>
  </cols>
  <sheetData>
    <row r="1" spans="1:6" ht="23.25" x14ac:dyDescent="0.35">
      <c r="A1" s="623" t="s">
        <v>521</v>
      </c>
      <c r="B1" s="623"/>
      <c r="C1" s="623"/>
      <c r="D1" s="623"/>
    </row>
    <row r="2" spans="1:6" x14ac:dyDescent="0.25">
      <c r="A2" s="31"/>
      <c r="B2" s="31"/>
      <c r="C2" s="31"/>
      <c r="D2" s="31"/>
      <c r="E2" s="31"/>
      <c r="F2" s="31"/>
    </row>
    <row r="3" spans="1:6" x14ac:dyDescent="0.25">
      <c r="A3" s="31"/>
      <c r="B3" s="189" t="s">
        <v>40</v>
      </c>
      <c r="C3" s="189" t="s">
        <v>522</v>
      </c>
      <c r="D3" s="189" t="s">
        <v>523</v>
      </c>
      <c r="E3" s="31" t="s">
        <v>11</v>
      </c>
      <c r="F3" s="31"/>
    </row>
    <row r="4" spans="1:6" x14ac:dyDescent="0.25">
      <c r="A4" s="31"/>
      <c r="B4" s="76" t="s">
        <v>68</v>
      </c>
      <c r="C4" s="624">
        <v>0.61</v>
      </c>
      <c r="D4" s="625">
        <f>C4*100/104</f>
        <v>0.58653846153846156</v>
      </c>
      <c r="E4" s="31" t="s">
        <v>511</v>
      </c>
      <c r="F4" s="31"/>
    </row>
    <row r="5" spans="1:6" x14ac:dyDescent="0.25">
      <c r="A5" s="31"/>
      <c r="B5" s="76" t="s">
        <v>116</v>
      </c>
      <c r="C5" s="624">
        <v>1.7999999999999999E-2</v>
      </c>
      <c r="D5" s="625">
        <f t="shared" ref="D5:D11" si="0">C5*100/104</f>
        <v>1.7307692307692305E-2</v>
      </c>
      <c r="E5" s="31"/>
      <c r="F5" s="31"/>
    </row>
    <row r="6" spans="1:6" x14ac:dyDescent="0.25">
      <c r="A6" s="31"/>
      <c r="B6" s="76" t="s">
        <v>127</v>
      </c>
      <c r="C6" s="624">
        <v>0.22900000000000001</v>
      </c>
      <c r="D6" s="625">
        <f t="shared" si="0"/>
        <v>0.22019230769230771</v>
      </c>
      <c r="E6" s="31"/>
      <c r="F6" s="31"/>
    </row>
    <row r="7" spans="1:6" x14ac:dyDescent="0.25">
      <c r="A7" s="31"/>
      <c r="B7" s="76" t="s">
        <v>136</v>
      </c>
      <c r="C7" s="626">
        <v>2.5000000000000001E-2</v>
      </c>
      <c r="D7" s="625">
        <f t="shared" si="0"/>
        <v>2.403846153846154E-2</v>
      </c>
      <c r="E7" s="31"/>
      <c r="F7" s="31"/>
    </row>
    <row r="8" spans="1:6" x14ac:dyDescent="0.25">
      <c r="A8" s="31"/>
      <c r="B8" s="76" t="s">
        <v>148</v>
      </c>
      <c r="C8" s="626">
        <v>3.4000000000000002E-2</v>
      </c>
      <c r="D8" s="625">
        <f t="shared" si="0"/>
        <v>3.2692307692307694E-2</v>
      </c>
      <c r="E8" s="31"/>
      <c r="F8" s="31"/>
    </row>
    <row r="9" spans="1:6" x14ac:dyDescent="0.25">
      <c r="A9" s="31"/>
      <c r="B9" s="76" t="s">
        <v>150</v>
      </c>
      <c r="C9" s="624">
        <v>8.5000000000000006E-2</v>
      </c>
      <c r="D9" s="625">
        <f t="shared" si="0"/>
        <v>8.1730769230769232E-2</v>
      </c>
      <c r="E9" s="31"/>
      <c r="F9" s="31"/>
    </row>
    <row r="10" spans="1:6" x14ac:dyDescent="0.25">
      <c r="A10" s="31"/>
      <c r="B10" s="76" t="s">
        <v>509</v>
      </c>
      <c r="C10" s="626">
        <v>0.01</v>
      </c>
      <c r="D10" s="625">
        <f t="shared" si="0"/>
        <v>9.6153846153846159E-3</v>
      </c>
      <c r="E10" s="31"/>
      <c r="F10" s="31"/>
    </row>
    <row r="11" spans="1:6" x14ac:dyDescent="0.25">
      <c r="A11" s="31"/>
      <c r="B11" s="76" t="s">
        <v>510</v>
      </c>
      <c r="C11" s="626">
        <v>2.9000000000000001E-2</v>
      </c>
      <c r="D11" s="625">
        <f t="shared" si="0"/>
        <v>2.788461538461539E-2</v>
      </c>
      <c r="E11" s="31"/>
      <c r="F11" s="31"/>
    </row>
    <row r="12" spans="1:6" x14ac:dyDescent="0.25">
      <c r="A12" s="31"/>
      <c r="B12" s="31"/>
      <c r="C12" s="31"/>
      <c r="D12" s="31"/>
      <c r="E12" s="31"/>
      <c r="F12" s="31"/>
    </row>
    <row r="13" spans="1:6" x14ac:dyDescent="0.25">
      <c r="A13" s="31"/>
      <c r="B13" s="31"/>
      <c r="C13" s="31"/>
      <c r="D13" s="31"/>
      <c r="E13" s="31"/>
      <c r="F13" s="31"/>
    </row>
    <row r="14" spans="1:6" x14ac:dyDescent="0.25">
      <c r="A14" s="31"/>
      <c r="B14" s="31"/>
      <c r="C14" s="610"/>
      <c r="D14" s="31" t="s">
        <v>431</v>
      </c>
      <c r="E14" s="31"/>
      <c r="F14" s="31"/>
    </row>
    <row r="15" spans="1:6" x14ac:dyDescent="0.25">
      <c r="A15" s="31"/>
      <c r="B15" s="31"/>
      <c r="C15" s="609"/>
      <c r="D15" s="31" t="s">
        <v>432</v>
      </c>
      <c r="E15" s="31"/>
      <c r="F15" s="31"/>
    </row>
    <row r="16" spans="1:6" x14ac:dyDescent="0.25">
      <c r="A16" s="31"/>
      <c r="B16" s="31"/>
      <c r="C16" s="31"/>
      <c r="D16" s="31"/>
      <c r="E16" s="31"/>
      <c r="F16" s="31"/>
    </row>
    <row r="17" spans="1:6" x14ac:dyDescent="0.25">
      <c r="A17" s="31"/>
      <c r="B17" s="31"/>
      <c r="C17" s="31"/>
      <c r="D17" s="31"/>
      <c r="E17" s="31"/>
      <c r="F17" s="31"/>
    </row>
    <row r="18" spans="1:6" x14ac:dyDescent="0.25">
      <c r="A18" s="31"/>
      <c r="B18" s="31"/>
      <c r="C18" s="31"/>
      <c r="D18" s="31"/>
      <c r="E18" s="31"/>
      <c r="F18" s="31"/>
    </row>
    <row r="19" spans="1:6" x14ac:dyDescent="0.25">
      <c r="A19" s="31"/>
      <c r="B19" s="31"/>
      <c r="C19" s="31"/>
      <c r="D19" s="31"/>
      <c r="E19" s="31"/>
      <c r="F19" s="31"/>
    </row>
    <row r="20" spans="1:6" x14ac:dyDescent="0.25">
      <c r="A20" s="31"/>
      <c r="B20" s="31"/>
      <c r="C20" s="31"/>
      <c r="D20" s="31"/>
      <c r="E20" s="31"/>
      <c r="F20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pane ySplit="1" topLeftCell="A2" activePane="bottomLeft" state="frozen"/>
      <selection pane="bottomLeft" activeCell="K13" sqref="K13"/>
    </sheetView>
  </sheetViews>
  <sheetFormatPr baseColWidth="10" defaultColWidth="9.140625" defaultRowHeight="15" x14ac:dyDescent="0.25"/>
  <cols>
    <col min="1" max="1" width="14.85546875" customWidth="1"/>
    <col min="2" max="2" width="20.42578125" customWidth="1"/>
    <col min="3" max="3" width="24" customWidth="1"/>
    <col min="4" max="4" width="19.7109375" customWidth="1"/>
    <col min="5" max="5" width="17" customWidth="1"/>
    <col min="8" max="8" width="20" customWidth="1"/>
  </cols>
  <sheetData>
    <row r="1" spans="1:12" ht="23.25" customHeight="1" x14ac:dyDescent="0.35">
      <c r="A1" s="617" t="s">
        <v>518</v>
      </c>
      <c r="B1" s="289"/>
      <c r="C1" s="289"/>
      <c r="D1" s="289"/>
      <c r="E1" s="289"/>
      <c r="F1" s="290"/>
      <c r="G1" s="290"/>
      <c r="H1" s="291"/>
      <c r="I1" s="30"/>
      <c r="J1" s="30"/>
      <c r="K1" s="30"/>
      <c r="L1" s="30"/>
    </row>
    <row r="2" spans="1:12" x14ac:dyDescent="0.25">
      <c r="A2" s="292"/>
      <c r="B2" s="293"/>
      <c r="C2" s="293"/>
      <c r="D2" s="294"/>
      <c r="E2" s="294"/>
      <c r="F2" s="294"/>
      <c r="G2" s="294"/>
      <c r="H2" s="295"/>
      <c r="I2" s="30"/>
      <c r="J2" s="30"/>
      <c r="K2" s="30"/>
      <c r="L2" s="30"/>
    </row>
    <row r="3" spans="1:12" ht="15.75" thickBot="1" x14ac:dyDescent="0.3">
      <c r="A3" s="296" t="s">
        <v>409</v>
      </c>
      <c r="B3" s="297"/>
      <c r="C3" s="297"/>
      <c r="D3" s="297"/>
      <c r="E3" s="297"/>
      <c r="F3" s="297"/>
      <c r="G3" s="297"/>
      <c r="H3" s="298"/>
      <c r="I3" s="30"/>
      <c r="J3" s="30"/>
      <c r="K3" s="30"/>
      <c r="L3" s="30"/>
    </row>
    <row r="4" spans="1:12" ht="15.75" thickBot="1" x14ac:dyDescent="0.3"/>
    <row r="5" spans="1:12" ht="15.75" thickBot="1" x14ac:dyDescent="0.3">
      <c r="B5" s="243" t="s">
        <v>403</v>
      </c>
      <c r="C5" s="241" t="s">
        <v>404</v>
      </c>
      <c r="D5" s="242" t="s">
        <v>398</v>
      </c>
      <c r="E5" s="240" t="s">
        <v>410</v>
      </c>
      <c r="F5" s="279"/>
      <c r="G5" s="20"/>
      <c r="H5" s="20"/>
    </row>
    <row r="6" spans="1:12" x14ac:dyDescent="0.25">
      <c r="A6" s="280" t="s">
        <v>411</v>
      </c>
      <c r="B6" s="283">
        <v>199439</v>
      </c>
      <c r="C6" s="20">
        <v>111.8</v>
      </c>
      <c r="D6" s="285">
        <f>C6/1000</f>
        <v>0.1118</v>
      </c>
      <c r="E6" s="286" t="s">
        <v>69</v>
      </c>
      <c r="F6" s="158"/>
      <c r="G6" s="275"/>
    </row>
    <row r="7" spans="1:12" x14ac:dyDescent="0.25">
      <c r="A7" s="281" t="s">
        <v>412</v>
      </c>
      <c r="B7" s="284">
        <v>118072</v>
      </c>
      <c r="C7" s="20">
        <v>66.2</v>
      </c>
      <c r="D7" s="285">
        <f t="shared" ref="D7:D25" si="0">C7/1000</f>
        <v>6.6200000000000009E-2</v>
      </c>
      <c r="E7" s="287" t="s">
        <v>74</v>
      </c>
      <c r="F7" s="158"/>
      <c r="G7" s="275"/>
      <c r="H7" s="14"/>
    </row>
    <row r="8" spans="1:12" x14ac:dyDescent="0.25">
      <c r="A8" s="281" t="s">
        <v>413</v>
      </c>
      <c r="B8" s="283">
        <v>52911</v>
      </c>
      <c r="C8" s="20">
        <v>29.7</v>
      </c>
      <c r="D8" s="285">
        <f t="shared" si="0"/>
        <v>2.9700000000000001E-2</v>
      </c>
      <c r="E8" s="287" t="s">
        <v>76</v>
      </c>
      <c r="F8" s="158"/>
      <c r="G8" s="275"/>
      <c r="H8" s="14"/>
    </row>
    <row r="9" spans="1:12" x14ac:dyDescent="0.25">
      <c r="A9" s="281" t="s">
        <v>414</v>
      </c>
      <c r="B9" s="283">
        <v>94769</v>
      </c>
      <c r="C9" s="20">
        <v>53.199999999999996</v>
      </c>
      <c r="D9" s="285">
        <f t="shared" si="0"/>
        <v>5.3199999999999997E-2</v>
      </c>
      <c r="E9" s="287" t="s">
        <v>78</v>
      </c>
      <c r="F9" s="158"/>
      <c r="G9" s="275"/>
    </row>
    <row r="10" spans="1:12" x14ac:dyDescent="0.25">
      <c r="A10" s="281" t="s">
        <v>415</v>
      </c>
      <c r="B10" s="283">
        <v>18574</v>
      </c>
      <c r="C10" s="20">
        <v>10.4</v>
      </c>
      <c r="D10" s="285">
        <f t="shared" si="0"/>
        <v>1.04E-2</v>
      </c>
      <c r="E10" s="287" t="s">
        <v>80</v>
      </c>
      <c r="F10" s="158"/>
      <c r="G10" s="275"/>
    </row>
    <row r="11" spans="1:12" x14ac:dyDescent="0.25">
      <c r="A11" s="281" t="s">
        <v>416</v>
      </c>
      <c r="B11" s="283">
        <v>83850</v>
      </c>
      <c r="C11" s="20">
        <v>47</v>
      </c>
      <c r="D11" s="285">
        <f t="shared" si="0"/>
        <v>4.7E-2</v>
      </c>
      <c r="E11" s="287" t="s">
        <v>82</v>
      </c>
      <c r="F11" s="158"/>
      <c r="G11" s="275"/>
    </row>
    <row r="12" spans="1:12" x14ac:dyDescent="0.25">
      <c r="A12" s="281" t="s">
        <v>417</v>
      </c>
      <c r="B12" s="283">
        <v>100598</v>
      </c>
      <c r="C12" s="20">
        <v>56.400000000000006</v>
      </c>
      <c r="D12" s="285">
        <f t="shared" si="0"/>
        <v>5.6400000000000006E-2</v>
      </c>
      <c r="E12" s="287" t="s">
        <v>84</v>
      </c>
      <c r="F12" s="158"/>
      <c r="G12" s="275"/>
    </row>
    <row r="13" spans="1:12" x14ac:dyDescent="0.25">
      <c r="A13" s="281" t="s">
        <v>418</v>
      </c>
      <c r="B13" s="283">
        <v>143726</v>
      </c>
      <c r="C13" s="20">
        <v>80.599999999999994</v>
      </c>
      <c r="D13" s="285">
        <f t="shared" si="0"/>
        <v>8.0599999999999991E-2</v>
      </c>
      <c r="E13" s="287" t="s">
        <v>86</v>
      </c>
      <c r="F13" s="158"/>
      <c r="G13" s="275"/>
    </row>
    <row r="14" spans="1:12" x14ac:dyDescent="0.25">
      <c r="A14" s="281" t="s">
        <v>419</v>
      </c>
      <c r="B14" s="283">
        <v>42095</v>
      </c>
      <c r="C14" s="20">
        <v>23.6</v>
      </c>
      <c r="D14" s="285">
        <f t="shared" si="0"/>
        <v>2.3600000000000003E-2</v>
      </c>
      <c r="E14" s="287" t="s">
        <v>90</v>
      </c>
      <c r="F14" s="158"/>
      <c r="G14" s="275"/>
    </row>
    <row r="15" spans="1:12" x14ac:dyDescent="0.25">
      <c r="A15" s="281" t="s">
        <v>420</v>
      </c>
      <c r="B15" s="283">
        <v>81314</v>
      </c>
      <c r="C15" s="20">
        <v>45.7</v>
      </c>
      <c r="D15" s="285">
        <f t="shared" si="0"/>
        <v>4.5700000000000005E-2</v>
      </c>
      <c r="E15" s="287" t="s">
        <v>93</v>
      </c>
      <c r="F15" s="158"/>
      <c r="G15" s="275"/>
    </row>
    <row r="16" spans="1:12" x14ac:dyDescent="0.25">
      <c r="A16" s="281" t="s">
        <v>421</v>
      </c>
      <c r="B16" s="283">
        <v>209535</v>
      </c>
      <c r="C16" s="20">
        <v>117.49999999999999</v>
      </c>
      <c r="D16" s="285">
        <f t="shared" si="0"/>
        <v>0.11749999999999998</v>
      </c>
      <c r="E16" s="287" t="s">
        <v>96</v>
      </c>
      <c r="F16" s="158"/>
      <c r="G16" s="275"/>
    </row>
    <row r="17" spans="1:8" x14ac:dyDescent="0.25">
      <c r="A17" s="281" t="s">
        <v>422</v>
      </c>
      <c r="B17" s="284">
        <v>60106</v>
      </c>
      <c r="C17" s="20">
        <v>33.700000000000003</v>
      </c>
      <c r="D17" s="285">
        <f t="shared" si="0"/>
        <v>3.3700000000000001E-2</v>
      </c>
      <c r="E17" s="287" t="s">
        <v>97</v>
      </c>
      <c r="F17" s="158"/>
      <c r="G17" s="275"/>
    </row>
    <row r="18" spans="1:8" x14ac:dyDescent="0.25">
      <c r="A18" s="281" t="s">
        <v>423</v>
      </c>
      <c r="B18" s="283">
        <v>40647</v>
      </c>
      <c r="C18" s="20">
        <v>22.8</v>
      </c>
      <c r="D18" s="285">
        <f t="shared" si="0"/>
        <v>2.2800000000000001E-2</v>
      </c>
      <c r="E18" s="287" t="s">
        <v>99</v>
      </c>
      <c r="F18" s="158"/>
      <c r="G18" s="275"/>
    </row>
    <row r="19" spans="1:8" x14ac:dyDescent="0.25">
      <c r="A19" s="281" t="s">
        <v>424</v>
      </c>
      <c r="B19" s="283">
        <v>63513</v>
      </c>
      <c r="C19" s="20">
        <v>35.700000000000003</v>
      </c>
      <c r="D19" s="285">
        <f t="shared" si="0"/>
        <v>3.5700000000000003E-2</v>
      </c>
      <c r="E19" s="287" t="s">
        <v>102</v>
      </c>
      <c r="F19" s="158"/>
      <c r="G19" s="275"/>
    </row>
    <row r="20" spans="1:8" x14ac:dyDescent="0.25">
      <c r="A20" s="281" t="s">
        <v>425</v>
      </c>
      <c r="B20" s="283">
        <v>87587</v>
      </c>
      <c r="C20" s="20">
        <v>49.199999999999996</v>
      </c>
      <c r="D20" s="285">
        <f t="shared" si="0"/>
        <v>4.9199999999999994E-2</v>
      </c>
      <c r="E20" s="287" t="s">
        <v>104</v>
      </c>
      <c r="F20" s="158"/>
      <c r="G20" s="275"/>
    </row>
    <row r="21" spans="1:8" x14ac:dyDescent="0.25">
      <c r="A21" s="281" t="s">
        <v>426</v>
      </c>
      <c r="B21" s="283">
        <v>100277</v>
      </c>
      <c r="C21" s="20">
        <v>56.3</v>
      </c>
      <c r="D21" s="285">
        <f t="shared" si="0"/>
        <v>5.6299999999999996E-2</v>
      </c>
      <c r="E21" s="287" t="s">
        <v>106</v>
      </c>
      <c r="F21" s="158"/>
      <c r="G21" s="275"/>
    </row>
    <row r="22" spans="1:8" x14ac:dyDescent="0.25">
      <c r="A22" s="281" t="s">
        <v>427</v>
      </c>
      <c r="B22" s="283">
        <v>85270</v>
      </c>
      <c r="C22" s="20">
        <v>47.9</v>
      </c>
      <c r="D22" s="285">
        <f t="shared" si="0"/>
        <v>4.7899999999999998E-2</v>
      </c>
      <c r="E22" s="287" t="s">
        <v>108</v>
      </c>
      <c r="F22" s="158"/>
      <c r="G22" s="275"/>
    </row>
    <row r="23" spans="1:8" x14ac:dyDescent="0.25">
      <c r="A23" s="281" t="s">
        <v>428</v>
      </c>
      <c r="B23" s="283">
        <v>25808</v>
      </c>
      <c r="C23" s="274">
        <v>14.5</v>
      </c>
      <c r="D23" s="285">
        <f t="shared" si="0"/>
        <v>1.4500000000000001E-2</v>
      </c>
      <c r="E23" s="287" t="s">
        <v>110</v>
      </c>
      <c r="F23" s="158"/>
      <c r="G23" s="275"/>
    </row>
    <row r="24" spans="1:8" x14ac:dyDescent="0.25">
      <c r="A24" s="281" t="s">
        <v>429</v>
      </c>
      <c r="B24" s="284">
        <v>45164</v>
      </c>
      <c r="C24" s="20">
        <v>25.4</v>
      </c>
      <c r="D24" s="285">
        <f t="shared" si="0"/>
        <v>2.5399999999999999E-2</v>
      </c>
      <c r="E24" s="287" t="s">
        <v>112</v>
      </c>
      <c r="F24" s="158"/>
      <c r="G24" s="275"/>
    </row>
    <row r="25" spans="1:8" ht="15.75" thickBot="1" x14ac:dyDescent="0.3">
      <c r="A25" s="282" t="s">
        <v>430</v>
      </c>
      <c r="B25" s="283">
        <v>129752</v>
      </c>
      <c r="C25" s="20">
        <v>72.7</v>
      </c>
      <c r="D25" s="285">
        <f t="shared" si="0"/>
        <v>7.2700000000000001E-2</v>
      </c>
      <c r="E25" s="288" t="s">
        <v>114</v>
      </c>
      <c r="F25" s="158"/>
      <c r="G25" s="275"/>
    </row>
    <row r="26" spans="1:8" ht="15.75" thickBot="1" x14ac:dyDescent="0.3">
      <c r="B26" s="276">
        <f>SUM(B6:B25)</f>
        <v>1783007</v>
      </c>
      <c r="C26" s="277">
        <f>SUM(C6:C25)</f>
        <v>1000.3000000000001</v>
      </c>
      <c r="D26" s="278">
        <f>SUM(D6:D25)</f>
        <v>1.0003</v>
      </c>
      <c r="E26" s="14"/>
      <c r="F26" s="279"/>
      <c r="G26" s="279"/>
      <c r="H26" s="279"/>
    </row>
    <row r="27" spans="1:8" x14ac:dyDescent="0.25">
      <c r="F27" s="30"/>
      <c r="G27" s="30"/>
      <c r="H27" s="30"/>
    </row>
    <row r="30" spans="1:8" x14ac:dyDescent="0.25">
      <c r="B30" s="14"/>
      <c r="C30" s="275"/>
      <c r="D30" s="275"/>
      <c r="E30" s="275"/>
    </row>
    <row r="31" spans="1:8" x14ac:dyDescent="0.25">
      <c r="B31" s="14"/>
      <c r="C31" s="14"/>
      <c r="D31" s="14"/>
      <c r="E31" s="275"/>
    </row>
    <row r="32" spans="1:8" x14ac:dyDescent="0.25">
      <c r="B32" s="275"/>
      <c r="C32" s="275"/>
      <c r="D32" s="275"/>
      <c r="E32" s="275"/>
    </row>
    <row r="33" spans="2:5" x14ac:dyDescent="0.25">
      <c r="B33" s="14"/>
      <c r="C33" s="275"/>
      <c r="D33" s="275"/>
      <c r="E33" s="275"/>
    </row>
    <row r="34" spans="2:5" x14ac:dyDescent="0.25">
      <c r="B34" s="14"/>
      <c r="C34" s="275"/>
      <c r="D34" s="275"/>
      <c r="E34" s="275"/>
    </row>
    <row r="35" spans="2:5" x14ac:dyDescent="0.25">
      <c r="B35" s="14"/>
      <c r="C35" s="275"/>
      <c r="D35" s="275"/>
      <c r="E35" s="275"/>
    </row>
    <row r="36" spans="2:5" x14ac:dyDescent="0.25">
      <c r="B36" s="14"/>
      <c r="C36" s="275"/>
      <c r="D36" s="275"/>
      <c r="E36" s="275"/>
    </row>
    <row r="37" spans="2:5" x14ac:dyDescent="0.25">
      <c r="B37" s="14"/>
      <c r="C37" s="275"/>
      <c r="D37" s="275"/>
      <c r="E37" s="275"/>
    </row>
    <row r="38" spans="2:5" x14ac:dyDescent="0.25">
      <c r="B38" s="14"/>
      <c r="C38" s="14"/>
      <c r="D38" s="14"/>
      <c r="E38" s="275"/>
    </row>
    <row r="39" spans="2:5" x14ac:dyDescent="0.25">
      <c r="B39" s="275"/>
      <c r="C39" s="275"/>
      <c r="D39" s="275"/>
      <c r="E39" s="275"/>
    </row>
    <row r="40" spans="2:5" x14ac:dyDescent="0.25">
      <c r="B40" s="14"/>
      <c r="C40" s="275"/>
      <c r="D40" s="275"/>
      <c r="E40" s="275"/>
    </row>
    <row r="41" spans="2:5" x14ac:dyDescent="0.25">
      <c r="B41" s="14"/>
      <c r="C41" s="275"/>
      <c r="D41" s="275"/>
      <c r="E41" s="275"/>
    </row>
    <row r="42" spans="2:5" x14ac:dyDescent="0.25">
      <c r="B42" s="14"/>
      <c r="C42" s="275"/>
      <c r="D42" s="275"/>
      <c r="E42" s="275"/>
    </row>
    <row r="43" spans="2:5" x14ac:dyDescent="0.25">
      <c r="B43" s="14"/>
      <c r="C43" s="275"/>
      <c r="D43" s="275"/>
      <c r="E43" s="275"/>
    </row>
    <row r="44" spans="2:5" x14ac:dyDescent="0.25">
      <c r="B44" s="14"/>
      <c r="C44" s="275"/>
      <c r="D44" s="275"/>
      <c r="E44" s="275"/>
    </row>
    <row r="45" spans="2:5" x14ac:dyDescent="0.25">
      <c r="B45" s="14"/>
      <c r="C45" s="14"/>
      <c r="D45" s="14"/>
    </row>
    <row r="46" spans="2:5" x14ac:dyDescent="0.25">
      <c r="B46" s="275"/>
      <c r="C46" s="275"/>
      <c r="D46" s="275"/>
    </row>
    <row r="47" spans="2:5" x14ac:dyDescent="0.25">
      <c r="B47" s="14"/>
      <c r="C47" s="275"/>
      <c r="D47" s="275"/>
    </row>
    <row r="48" spans="2:5" x14ac:dyDescent="0.25">
      <c r="B48" s="14"/>
      <c r="C48" s="275"/>
      <c r="D48" s="275"/>
    </row>
    <row r="49" spans="2:4" x14ac:dyDescent="0.25">
      <c r="B49" s="14"/>
      <c r="C49" s="275"/>
      <c r="D49" s="275"/>
    </row>
    <row r="50" spans="2:4" x14ac:dyDescent="0.25">
      <c r="B50" s="14"/>
      <c r="C50" s="14"/>
      <c r="D50" s="14"/>
    </row>
    <row r="51" spans="2:4" x14ac:dyDescent="0.25">
      <c r="B51" s="275"/>
      <c r="C51" s="275"/>
      <c r="D51" s="275"/>
    </row>
    <row r="52" spans="2:4" x14ac:dyDescent="0.25">
      <c r="B52" s="14"/>
      <c r="C52" s="275"/>
      <c r="D52" s="275"/>
    </row>
    <row r="53" spans="2:4" x14ac:dyDescent="0.25">
      <c r="B53" s="14"/>
      <c r="C53" s="275"/>
      <c r="D53" s="275"/>
    </row>
    <row r="54" spans="2:4" x14ac:dyDescent="0.25">
      <c r="B54" s="14"/>
      <c r="C54" s="275"/>
      <c r="D54" s="275"/>
    </row>
    <row r="55" spans="2:4" x14ac:dyDescent="0.25">
      <c r="B55" s="14"/>
      <c r="C55" s="14"/>
      <c r="D55" s="14"/>
    </row>
    <row r="56" spans="2:4" x14ac:dyDescent="0.25">
      <c r="B56" s="275"/>
      <c r="C56" s="275"/>
      <c r="D56" s="275"/>
    </row>
    <row r="57" spans="2:4" x14ac:dyDescent="0.25">
      <c r="B57" s="14"/>
      <c r="C57" s="275"/>
      <c r="D57" s="275"/>
    </row>
    <row r="58" spans="2:4" x14ac:dyDescent="0.25">
      <c r="B58" s="14"/>
      <c r="C58" s="275"/>
      <c r="D58" s="275"/>
    </row>
    <row r="59" spans="2:4" x14ac:dyDescent="0.25">
      <c r="B59" s="14"/>
      <c r="C59" s="275"/>
      <c r="D59" s="275"/>
    </row>
    <row r="60" spans="2:4" x14ac:dyDescent="0.25">
      <c r="B60" s="14"/>
      <c r="C60" s="14"/>
      <c r="D60" s="14"/>
    </row>
    <row r="61" spans="2:4" x14ac:dyDescent="0.25">
      <c r="B61" s="275"/>
      <c r="C61" s="275"/>
      <c r="D61" s="275"/>
    </row>
    <row r="62" spans="2:4" x14ac:dyDescent="0.25">
      <c r="B62" s="14"/>
      <c r="C62" s="275"/>
      <c r="D62" s="275"/>
    </row>
    <row r="63" spans="2:4" x14ac:dyDescent="0.25">
      <c r="B63" s="14"/>
      <c r="C63" s="275"/>
      <c r="D63" s="275"/>
    </row>
    <row r="64" spans="2:4" x14ac:dyDescent="0.25">
      <c r="B64" s="14"/>
      <c r="C64" s="275"/>
      <c r="D64" s="275"/>
    </row>
    <row r="65" spans="2:4" x14ac:dyDescent="0.25">
      <c r="B65" s="14"/>
      <c r="C65" s="14"/>
      <c r="D65" s="14"/>
    </row>
    <row r="66" spans="2:4" x14ac:dyDescent="0.25">
      <c r="B66" s="275"/>
      <c r="C66" s="275"/>
      <c r="D66" s="275"/>
    </row>
    <row r="67" spans="2:4" x14ac:dyDescent="0.25">
      <c r="B67" s="14"/>
      <c r="C67" s="275"/>
      <c r="D67" s="275"/>
    </row>
    <row r="68" spans="2:4" x14ac:dyDescent="0.25">
      <c r="B68" s="14"/>
      <c r="C68" s="275"/>
      <c r="D68" s="275"/>
    </row>
    <row r="69" spans="2:4" x14ac:dyDescent="0.25">
      <c r="B69" s="14"/>
      <c r="C69" s="275"/>
      <c r="D69" s="275"/>
    </row>
    <row r="70" spans="2:4" x14ac:dyDescent="0.25">
      <c r="B70" s="14"/>
      <c r="C70" s="14"/>
      <c r="D70" s="14"/>
    </row>
    <row r="71" spans="2:4" x14ac:dyDescent="0.25">
      <c r="B71" s="275"/>
      <c r="C71" s="275"/>
      <c r="D71" s="275"/>
    </row>
    <row r="72" spans="2:4" x14ac:dyDescent="0.25">
      <c r="B72" s="14"/>
      <c r="C72" s="275"/>
      <c r="D72" s="275"/>
    </row>
    <row r="73" spans="2:4" x14ac:dyDescent="0.25">
      <c r="B73" s="14"/>
      <c r="C73" s="275"/>
      <c r="D73" s="275"/>
    </row>
    <row r="74" spans="2:4" x14ac:dyDescent="0.25">
      <c r="B74" s="14"/>
      <c r="C74" s="14"/>
      <c r="D74" s="14"/>
    </row>
    <row r="75" spans="2:4" x14ac:dyDescent="0.25">
      <c r="B75" s="275"/>
      <c r="C75" s="275"/>
      <c r="D75" s="275"/>
    </row>
    <row r="76" spans="2:4" x14ac:dyDescent="0.25">
      <c r="B76" s="14"/>
      <c r="C76" s="275"/>
      <c r="D76" s="275"/>
    </row>
    <row r="77" spans="2:4" x14ac:dyDescent="0.25">
      <c r="B77" s="14"/>
      <c r="C77" s="14"/>
      <c r="D77" s="14"/>
    </row>
    <row r="78" spans="2:4" x14ac:dyDescent="0.25">
      <c r="B78" s="275"/>
      <c r="C78" s="275"/>
      <c r="D78" s="275"/>
    </row>
    <row r="79" spans="2:4" x14ac:dyDescent="0.25">
      <c r="B79" s="14"/>
      <c r="C79" s="275"/>
      <c r="D79" s="275"/>
    </row>
    <row r="80" spans="2:4" x14ac:dyDescent="0.25">
      <c r="B80" s="14"/>
      <c r="C80" s="14"/>
      <c r="D80" s="14"/>
    </row>
    <row r="81" spans="2:4" x14ac:dyDescent="0.25">
      <c r="B81" s="275"/>
      <c r="C81" s="275"/>
      <c r="D81" s="275"/>
    </row>
    <row r="82" spans="2:4" x14ac:dyDescent="0.25">
      <c r="B82" s="14"/>
      <c r="C82" s="275"/>
      <c r="D82" s="275"/>
    </row>
    <row r="83" spans="2:4" x14ac:dyDescent="0.25">
      <c r="B83" s="14"/>
      <c r="C83" s="14"/>
      <c r="D83" s="14"/>
    </row>
    <row r="84" spans="2:4" x14ac:dyDescent="0.25">
      <c r="B84" s="275"/>
      <c r="C84" s="275"/>
      <c r="D84" s="275"/>
    </row>
    <row r="85" spans="2:4" x14ac:dyDescent="0.25">
      <c r="B85" s="14"/>
      <c r="C85" s="275"/>
      <c r="D85" s="275"/>
    </row>
    <row r="86" spans="2:4" x14ac:dyDescent="0.25">
      <c r="B86" s="14"/>
      <c r="C86" s="14"/>
      <c r="D86" s="14"/>
    </row>
    <row r="87" spans="2:4" x14ac:dyDescent="0.25">
      <c r="B87" s="275"/>
      <c r="C87" s="275"/>
      <c r="D87" s="275"/>
    </row>
    <row r="88" spans="2:4" x14ac:dyDescent="0.25">
      <c r="B88" s="14"/>
      <c r="C88" s="275"/>
      <c r="D88" s="275"/>
    </row>
    <row r="89" spans="2:4" x14ac:dyDescent="0.25">
      <c r="B89" s="14"/>
      <c r="C89" s="14"/>
      <c r="D89" s="14"/>
    </row>
    <row r="90" spans="2:4" x14ac:dyDescent="0.25">
      <c r="B90" s="275"/>
      <c r="C90" s="275"/>
      <c r="D90" s="275"/>
    </row>
    <row r="91" spans="2:4" x14ac:dyDescent="0.25">
      <c r="B91" s="14"/>
      <c r="C91" s="275"/>
      <c r="D91" s="275"/>
    </row>
    <row r="92" spans="2:4" x14ac:dyDescent="0.25">
      <c r="B92" s="14"/>
      <c r="C92" s="14"/>
      <c r="D92" s="14"/>
    </row>
    <row r="93" spans="2:4" x14ac:dyDescent="0.25">
      <c r="B93" s="275"/>
      <c r="C93" s="275"/>
      <c r="D93" s="275"/>
    </row>
    <row r="94" spans="2:4" x14ac:dyDescent="0.25">
      <c r="B94" s="14"/>
      <c r="C94" s="275"/>
      <c r="D94" s="275"/>
    </row>
    <row r="95" spans="2:4" x14ac:dyDescent="0.25">
      <c r="B95" s="14"/>
      <c r="C95" s="14"/>
      <c r="D95" s="14"/>
    </row>
    <row r="96" spans="2:4" x14ac:dyDescent="0.25">
      <c r="B96" s="275"/>
      <c r="C96" s="275"/>
      <c r="D96" s="275"/>
    </row>
    <row r="97" spans="2:4" x14ac:dyDescent="0.25">
      <c r="B97" s="14"/>
      <c r="C97" s="275"/>
      <c r="D97" s="275"/>
    </row>
    <row r="98" spans="2:4" x14ac:dyDescent="0.25">
      <c r="B98" s="14"/>
      <c r="C98" s="14"/>
      <c r="D98" s="14"/>
    </row>
    <row r="99" spans="2:4" x14ac:dyDescent="0.25">
      <c r="B99" s="275"/>
      <c r="C99" s="275"/>
      <c r="D99" s="275"/>
    </row>
    <row r="100" spans="2:4" x14ac:dyDescent="0.25">
      <c r="B100" s="14"/>
      <c r="C100" s="275"/>
      <c r="D100" s="275"/>
    </row>
    <row r="101" spans="2:4" x14ac:dyDescent="0.25">
      <c r="B101" s="14"/>
      <c r="C101" s="14"/>
      <c r="D101" s="14"/>
    </row>
    <row r="102" spans="2:4" x14ac:dyDescent="0.25">
      <c r="B102" s="275"/>
      <c r="C102" s="275"/>
      <c r="D102" s="275"/>
    </row>
    <row r="103" spans="2:4" x14ac:dyDescent="0.25">
      <c r="B103" s="14"/>
      <c r="C103" s="14"/>
      <c r="D103" s="14"/>
    </row>
    <row r="104" spans="2:4" x14ac:dyDescent="0.25">
      <c r="B104" s="275"/>
      <c r="C104" s="275"/>
      <c r="D104" s="27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workbookViewId="0">
      <pane ySplit="1" topLeftCell="A5" activePane="bottomLeft" state="frozen"/>
      <selection pane="bottomLeft" activeCell="G14" sqref="G14"/>
    </sheetView>
  </sheetViews>
  <sheetFormatPr baseColWidth="10" defaultColWidth="11.42578125" defaultRowHeight="15" x14ac:dyDescent="0.25"/>
  <cols>
    <col min="1" max="2" width="29.85546875" customWidth="1"/>
    <col min="3" max="3" width="24.42578125" customWidth="1"/>
    <col min="4" max="4" width="24.7109375" customWidth="1"/>
    <col min="5" max="5" width="17.7109375" customWidth="1"/>
    <col min="6" max="6" width="18.85546875" customWidth="1"/>
    <col min="7" max="7" width="19.85546875" customWidth="1"/>
    <col min="9" max="9" width="15.85546875" customWidth="1"/>
    <col min="10" max="10" width="19.42578125" customWidth="1"/>
    <col min="11" max="11" width="22.42578125" customWidth="1"/>
    <col min="12" max="12" width="29.42578125" customWidth="1"/>
    <col min="13" max="13" width="24.42578125" customWidth="1"/>
    <col min="14" max="14" width="32.28515625" customWidth="1"/>
  </cols>
  <sheetData>
    <row r="1" spans="1:20" ht="27" customHeight="1" x14ac:dyDescent="0.35">
      <c r="A1" s="618" t="s">
        <v>519</v>
      </c>
      <c r="B1" s="289"/>
      <c r="C1" s="289"/>
      <c r="D1" s="289"/>
      <c r="E1" s="289"/>
      <c r="F1" s="289"/>
      <c r="G1" s="619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ht="15.75" thickBot="1" x14ac:dyDescent="0.3">
      <c r="B2" s="2"/>
      <c r="C2" s="2"/>
      <c r="D2" s="2"/>
      <c r="E2" s="2"/>
      <c r="G2" s="300" t="s">
        <v>4</v>
      </c>
      <c r="H2" s="294"/>
      <c r="I2" s="294"/>
      <c r="J2" s="31"/>
      <c r="K2" s="31"/>
      <c r="L2" s="31"/>
      <c r="M2" s="31"/>
      <c r="N2" s="31"/>
      <c r="O2" s="31"/>
      <c r="P2" s="31"/>
      <c r="Q2" s="31"/>
      <c r="R2" s="31"/>
      <c r="S2" s="31"/>
      <c r="T2" s="209"/>
    </row>
    <row r="3" spans="1:20" ht="15.75" thickBot="1" x14ac:dyDescent="0.3">
      <c r="A3" s="4" t="s">
        <v>0</v>
      </c>
      <c r="B3" s="5" t="s">
        <v>1</v>
      </c>
      <c r="C3" s="5" t="s">
        <v>2</v>
      </c>
      <c r="D3" s="6" t="s">
        <v>3</v>
      </c>
      <c r="E3" s="7" t="s">
        <v>4</v>
      </c>
      <c r="G3" s="620" t="s">
        <v>7</v>
      </c>
      <c r="H3" s="305" t="s">
        <v>406</v>
      </c>
      <c r="I3" s="297"/>
      <c r="J3" s="621"/>
      <c r="K3" s="621"/>
      <c r="L3" s="621"/>
      <c r="M3" s="621"/>
      <c r="N3" s="621"/>
      <c r="O3" s="621"/>
      <c r="P3" s="621"/>
      <c r="Q3" s="621"/>
      <c r="R3" s="621"/>
      <c r="S3" s="621"/>
      <c r="T3" s="622"/>
    </row>
    <row r="4" spans="1:20" x14ac:dyDescent="0.25">
      <c r="A4" s="9" t="s">
        <v>5</v>
      </c>
      <c r="B4" s="10">
        <v>61.278570051650902</v>
      </c>
      <c r="C4" s="10">
        <f>(B4*100)/95.134</f>
        <v>64.412901855962019</v>
      </c>
      <c r="D4" s="11">
        <f>C4/100</f>
        <v>0.64412901855962024</v>
      </c>
      <c r="E4" s="12" t="s">
        <v>6</v>
      </c>
      <c r="H4" s="3"/>
    </row>
    <row r="5" spans="1:20" x14ac:dyDescent="0.25">
      <c r="A5" s="9" t="s">
        <v>8</v>
      </c>
      <c r="B5" s="17">
        <v>33.855341246542274</v>
      </c>
      <c r="C5" s="10">
        <f>(B5*100)/95.134</f>
        <v>35.587004905230806</v>
      </c>
      <c r="D5" s="18">
        <f>C5/100</f>
        <v>0.35587004905230807</v>
      </c>
      <c r="E5" s="19" t="s">
        <v>6</v>
      </c>
    </row>
    <row r="6" spans="1:20" x14ac:dyDescent="0.25">
      <c r="A6" s="49" t="s">
        <v>38</v>
      </c>
      <c r="B6" s="266">
        <f>SUM(B4:B5)</f>
        <v>95.133911298193169</v>
      </c>
      <c r="C6" s="266">
        <f>SUM(C4:C5)</f>
        <v>99.999906761192818</v>
      </c>
      <c r="D6" s="266">
        <f>C6/100</f>
        <v>0.99999906761192814</v>
      </c>
      <c r="E6" s="19" t="s">
        <v>6</v>
      </c>
    </row>
    <row r="7" spans="1:20" x14ac:dyDescent="0.25">
      <c r="A7" s="22"/>
      <c r="B7" s="23"/>
      <c r="C7" s="23"/>
      <c r="D7" s="23"/>
      <c r="E7" s="24"/>
    </row>
    <row r="8" spans="1:20" ht="15.75" thickBot="1" x14ac:dyDescent="0.3">
      <c r="B8" s="21"/>
      <c r="C8" s="21"/>
      <c r="D8" s="21"/>
      <c r="E8" s="24"/>
    </row>
    <row r="9" spans="1:20" x14ac:dyDescent="0.25">
      <c r="A9" s="25" t="s">
        <v>12</v>
      </c>
      <c r="B9" s="26" t="s">
        <v>1</v>
      </c>
      <c r="C9" s="26" t="s">
        <v>13</v>
      </c>
      <c r="D9" s="26" t="s">
        <v>14</v>
      </c>
      <c r="E9" s="27" t="s">
        <v>4</v>
      </c>
    </row>
    <row r="10" spans="1:20" x14ac:dyDescent="0.25">
      <c r="A10" s="28" t="s">
        <v>16</v>
      </c>
      <c r="B10" s="17">
        <v>10.875188099829632</v>
      </c>
      <c r="C10" s="17">
        <f>(B10*100)/93.135</f>
        <v>11.676800450775358</v>
      </c>
      <c r="D10" s="17">
        <f t="shared" ref="D10:D13" si="0">C10/100</f>
        <v>0.11676800450775358</v>
      </c>
      <c r="E10" s="19" t="s">
        <v>6</v>
      </c>
    </row>
    <row r="11" spans="1:20" x14ac:dyDescent="0.25">
      <c r="A11" s="28" t="s">
        <v>17</v>
      </c>
      <c r="B11" s="17">
        <v>54.020633049628252</v>
      </c>
      <c r="C11" s="17">
        <f t="shared" ref="C11:C13" si="1">(B11*100)/93.135</f>
        <v>58.002505019196057</v>
      </c>
      <c r="D11" s="17">
        <f t="shared" si="0"/>
        <v>0.5800250501919606</v>
      </c>
      <c r="E11" s="19" t="s">
        <v>6</v>
      </c>
    </row>
    <row r="12" spans="1:20" x14ac:dyDescent="0.25">
      <c r="A12" s="28" t="s">
        <v>18</v>
      </c>
      <c r="B12" s="17">
        <v>24.620460070509552</v>
      </c>
      <c r="C12" s="17">
        <f t="shared" si="1"/>
        <v>26.435239244655126</v>
      </c>
      <c r="D12" s="17">
        <f t="shared" si="0"/>
        <v>0.26435239244655123</v>
      </c>
      <c r="E12" s="19" t="s">
        <v>6</v>
      </c>
    </row>
    <row r="13" spans="1:20" x14ac:dyDescent="0.25">
      <c r="A13" s="28" t="s">
        <v>19</v>
      </c>
      <c r="B13" s="17">
        <v>3.6187512100368773</v>
      </c>
      <c r="C13" s="17">
        <f t="shared" si="1"/>
        <v>3.8854901058000508</v>
      </c>
      <c r="D13" s="17">
        <f t="shared" si="0"/>
        <v>3.8854901058000511E-2</v>
      </c>
      <c r="E13" s="19" t="s">
        <v>6</v>
      </c>
    </row>
    <row r="14" spans="1:20" x14ac:dyDescent="0.25">
      <c r="A14" s="48" t="s">
        <v>38</v>
      </c>
      <c r="B14" s="266">
        <f>SUM(B10:B13)</f>
        <v>93.135032430004316</v>
      </c>
      <c r="C14" s="267">
        <f>SUM(C10:C13)</f>
        <v>100.00003482042658</v>
      </c>
      <c r="D14" s="266">
        <f>SUM(D10:D13)</f>
        <v>1.0000003482042661</v>
      </c>
      <c r="E14" s="19" t="s">
        <v>6</v>
      </c>
    </row>
    <row r="15" spans="1:20" x14ac:dyDescent="0.25">
      <c r="A15" s="31"/>
      <c r="B15" s="32"/>
      <c r="C15" s="32"/>
      <c r="D15" s="32"/>
    </row>
    <row r="16" spans="1:20" ht="15.75" thickBot="1" x14ac:dyDescent="0.3">
      <c r="B16" s="2"/>
      <c r="C16" s="2"/>
      <c r="D16" s="2"/>
    </row>
    <row r="17" spans="1:5" x14ac:dyDescent="0.25">
      <c r="A17" s="25" t="s">
        <v>20</v>
      </c>
      <c r="B17" s="33" t="s">
        <v>5</v>
      </c>
      <c r="C17" s="33" t="s">
        <v>8</v>
      </c>
      <c r="D17" s="34" t="s">
        <v>10</v>
      </c>
      <c r="E17" s="27" t="s">
        <v>10</v>
      </c>
    </row>
    <row r="18" spans="1:5" x14ac:dyDescent="0.25">
      <c r="A18" s="35" t="s">
        <v>16</v>
      </c>
      <c r="B18" s="258">
        <f>D10*0.644</f>
        <v>7.5198594902993313E-2</v>
      </c>
      <c r="C18" s="258">
        <f>D10*0.356</f>
        <v>4.1569409604760271E-2</v>
      </c>
      <c r="D18" s="259">
        <f>SUM(B18:C18)</f>
        <v>0.11676800450775358</v>
      </c>
      <c r="E18" s="261"/>
    </row>
    <row r="19" spans="1:5" x14ac:dyDescent="0.25">
      <c r="A19" s="35" t="s">
        <v>17</v>
      </c>
      <c r="B19" s="258">
        <f t="shared" ref="B19:B21" si="2">D11*0.644</f>
        <v>0.37353613232362265</v>
      </c>
      <c r="C19" s="258">
        <f t="shared" ref="C19:C21" si="3">D11*0.356</f>
        <v>0.20648891786833795</v>
      </c>
      <c r="D19" s="259">
        <f>SUM(B19:C19)</f>
        <v>0.5800250501919606</v>
      </c>
      <c r="E19" s="262"/>
    </row>
    <row r="20" spans="1:5" x14ac:dyDescent="0.25">
      <c r="A20" s="35" t="s">
        <v>18</v>
      </c>
      <c r="B20" s="258">
        <f t="shared" si="2"/>
        <v>0.170242940735579</v>
      </c>
      <c r="C20" s="258">
        <f t="shared" si="3"/>
        <v>9.4109451710972236E-2</v>
      </c>
      <c r="D20" s="259">
        <f>SUM(B20:C20)</f>
        <v>0.26435239244655123</v>
      </c>
      <c r="E20" s="262"/>
    </row>
    <row r="21" spans="1:5" x14ac:dyDescent="0.25">
      <c r="A21" s="35" t="s">
        <v>19</v>
      </c>
      <c r="B21" s="258">
        <f t="shared" si="2"/>
        <v>2.5022556281352332E-2</v>
      </c>
      <c r="C21" s="258">
        <f t="shared" si="3"/>
        <v>1.3832344776648181E-2</v>
      </c>
      <c r="D21" s="259">
        <f>SUM(B21:C21)</f>
        <v>3.8854901058000511E-2</v>
      </c>
      <c r="E21" s="263"/>
    </row>
    <row r="22" spans="1:5" ht="15.75" thickBot="1" x14ac:dyDescent="0.3">
      <c r="A22" s="36" t="s">
        <v>38</v>
      </c>
      <c r="B22" s="264">
        <f>SUM(B18:B21)</f>
        <v>0.6440002242435473</v>
      </c>
      <c r="C22" s="264">
        <f>SUM(C18:C21)</f>
        <v>0.35600012396071867</v>
      </c>
      <c r="D22" s="259">
        <f>SUM(D18:D21)</f>
        <v>1.0000003482042661</v>
      </c>
      <c r="E22" s="265">
        <f>SUM(B22:C22)</f>
        <v>1.0000003482042659</v>
      </c>
    </row>
    <row r="23" spans="1:5" ht="15.75" thickBot="1" x14ac:dyDescent="0.3"/>
    <row r="24" spans="1:5" ht="15.75" thickBot="1" x14ac:dyDescent="0.3">
      <c r="C24" s="627" t="s">
        <v>382</v>
      </c>
      <c r="D24" s="628"/>
      <c r="E24" s="30"/>
    </row>
    <row r="25" spans="1:5" x14ac:dyDescent="0.25">
      <c r="C25" s="47" t="s">
        <v>373</v>
      </c>
      <c r="D25" s="443" t="s">
        <v>37</v>
      </c>
      <c r="E25" s="30"/>
    </row>
    <row r="26" spans="1:5" x14ac:dyDescent="0.25">
      <c r="C26" s="45" t="s">
        <v>23</v>
      </c>
      <c r="D26" s="444">
        <f>B18</f>
        <v>7.5198594902993313E-2</v>
      </c>
      <c r="E26" s="30"/>
    </row>
    <row r="27" spans="1:5" x14ac:dyDescent="0.25">
      <c r="C27" s="45" t="s">
        <v>24</v>
      </c>
      <c r="D27" s="444">
        <f>B19</f>
        <v>0.37353613232362265</v>
      </c>
      <c r="E27" s="30"/>
    </row>
    <row r="28" spans="1:5" x14ac:dyDescent="0.25">
      <c r="C28" s="45" t="s">
        <v>25</v>
      </c>
      <c r="D28" s="444">
        <f>B20</f>
        <v>0.170242940735579</v>
      </c>
      <c r="E28" s="30"/>
    </row>
    <row r="29" spans="1:5" x14ac:dyDescent="0.25">
      <c r="C29" s="45" t="s">
        <v>26</v>
      </c>
      <c r="D29" s="444">
        <f>B21</f>
        <v>2.5022556281352332E-2</v>
      </c>
      <c r="E29" s="30"/>
    </row>
    <row r="30" spans="1:5" x14ac:dyDescent="0.25">
      <c r="C30" s="46" t="s">
        <v>28</v>
      </c>
      <c r="D30" s="442">
        <f>C18</f>
        <v>4.1569409604760271E-2</v>
      </c>
      <c r="E30" s="30"/>
    </row>
    <row r="31" spans="1:5" x14ac:dyDescent="0.25">
      <c r="C31" s="46" t="s">
        <v>29</v>
      </c>
      <c r="D31" s="442">
        <f>C19</f>
        <v>0.20648891786833795</v>
      </c>
      <c r="E31" s="30"/>
    </row>
    <row r="32" spans="1:5" x14ac:dyDescent="0.25">
      <c r="C32" s="46" t="s">
        <v>30</v>
      </c>
      <c r="D32" s="442">
        <f>C20</f>
        <v>9.4109451710972236E-2</v>
      </c>
      <c r="E32" s="30"/>
    </row>
    <row r="33" spans="1:5" x14ac:dyDescent="0.25">
      <c r="C33" s="46" t="s">
        <v>31</v>
      </c>
      <c r="D33" s="442">
        <f>C21</f>
        <v>1.3832344776648181E-2</v>
      </c>
      <c r="E33" s="30"/>
    </row>
    <row r="34" spans="1:5" ht="15.75" thickBot="1" x14ac:dyDescent="0.3">
      <c r="C34" s="440" t="s">
        <v>10</v>
      </c>
      <c r="D34" s="441">
        <f>SUM(D26:D33)</f>
        <v>1.0000003482042659</v>
      </c>
    </row>
    <row r="36" spans="1:5" x14ac:dyDescent="0.25">
      <c r="A36" s="30"/>
      <c r="B36" s="30"/>
      <c r="C36" s="30"/>
    </row>
    <row r="37" spans="1:5" x14ac:dyDescent="0.25">
      <c r="A37" s="30"/>
      <c r="B37" s="30"/>
      <c r="C37" s="30"/>
    </row>
    <row r="38" spans="1:5" x14ac:dyDescent="0.25">
      <c r="A38" s="30"/>
      <c r="B38" s="30"/>
      <c r="C38" s="30"/>
    </row>
    <row r="39" spans="1:5" x14ac:dyDescent="0.25">
      <c r="A39" s="30"/>
      <c r="B39" s="30"/>
      <c r="C39" s="30"/>
    </row>
    <row r="40" spans="1:5" x14ac:dyDescent="0.25">
      <c r="A40" s="30"/>
      <c r="B40" s="30"/>
      <c r="C40" s="30"/>
    </row>
    <row r="41" spans="1:5" x14ac:dyDescent="0.25">
      <c r="A41" s="30"/>
      <c r="B41" s="30"/>
      <c r="C41" s="30"/>
    </row>
    <row r="42" spans="1:5" x14ac:dyDescent="0.25">
      <c r="A42" s="30"/>
      <c r="B42" s="30"/>
      <c r="C42" s="30"/>
    </row>
    <row r="43" spans="1:5" x14ac:dyDescent="0.25">
      <c r="A43" s="30"/>
      <c r="B43" s="30"/>
      <c r="C43" s="30"/>
    </row>
    <row r="44" spans="1:5" x14ac:dyDescent="0.25">
      <c r="A44" s="30"/>
      <c r="B44" s="30"/>
      <c r="C44" s="30"/>
    </row>
    <row r="45" spans="1:5" x14ac:dyDescent="0.25">
      <c r="A45" s="30"/>
      <c r="B45" s="30"/>
      <c r="C45" s="30"/>
    </row>
    <row r="46" spans="1:5" x14ac:dyDescent="0.25">
      <c r="A46" s="30"/>
      <c r="B46" s="30"/>
      <c r="C46" s="30"/>
    </row>
    <row r="47" spans="1:5" x14ac:dyDescent="0.25">
      <c r="A47" s="30"/>
      <c r="B47" s="30"/>
      <c r="C47" s="30"/>
    </row>
    <row r="48" spans="1:5" x14ac:dyDescent="0.25">
      <c r="A48" s="30"/>
      <c r="B48" s="30"/>
      <c r="C48" s="30"/>
    </row>
    <row r="49" spans="1:3" x14ac:dyDescent="0.25">
      <c r="A49" s="30"/>
      <c r="B49" s="30"/>
      <c r="C49" s="30"/>
    </row>
    <row r="50" spans="1:3" x14ac:dyDescent="0.25">
      <c r="A50" s="30"/>
      <c r="B50" s="30"/>
      <c r="C50" s="30"/>
    </row>
    <row r="51" spans="1:3" x14ac:dyDescent="0.25">
      <c r="A51" s="30"/>
      <c r="B51" s="30"/>
      <c r="C51" s="30"/>
    </row>
    <row r="52" spans="1:3" x14ac:dyDescent="0.25">
      <c r="A52" s="30"/>
      <c r="B52" s="30"/>
      <c r="C52" s="30"/>
    </row>
    <row r="53" spans="1:3" x14ac:dyDescent="0.25">
      <c r="A53" s="30"/>
      <c r="B53" s="30"/>
      <c r="C53" s="30"/>
    </row>
    <row r="54" spans="1:3" x14ac:dyDescent="0.25">
      <c r="A54" s="30"/>
      <c r="B54" s="30"/>
      <c r="C54" s="30"/>
    </row>
    <row r="55" spans="1:3" x14ac:dyDescent="0.25">
      <c r="A55" s="30"/>
      <c r="B55" s="30"/>
      <c r="C55" s="30"/>
    </row>
    <row r="56" spans="1:3" x14ac:dyDescent="0.25">
      <c r="A56" s="30"/>
      <c r="B56" s="30"/>
      <c r="C56" s="30"/>
    </row>
    <row r="57" spans="1:3" x14ac:dyDescent="0.25">
      <c r="A57" s="30"/>
      <c r="B57" s="30"/>
      <c r="C57" s="30"/>
    </row>
    <row r="78" spans="2:2" x14ac:dyDescent="0.25">
      <c r="B78" s="39"/>
    </row>
  </sheetData>
  <mergeCells count="1">
    <mergeCell ref="C24:D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pane ySplit="1" topLeftCell="A9" activePane="bottomLeft" state="frozen"/>
      <selection pane="bottomLeft" activeCell="I38" sqref="I38"/>
    </sheetView>
  </sheetViews>
  <sheetFormatPr baseColWidth="10" defaultColWidth="9.140625" defaultRowHeight="15" x14ac:dyDescent="0.25"/>
  <cols>
    <col min="1" max="1" width="66.85546875" customWidth="1"/>
    <col min="2" max="2" width="29" customWidth="1"/>
    <col min="3" max="3" width="10.7109375" bestFit="1" customWidth="1"/>
    <col min="4" max="4" width="9.85546875" bestFit="1" customWidth="1"/>
    <col min="5" max="5" width="11.42578125" customWidth="1"/>
    <col min="6" max="6" width="17.42578125" customWidth="1"/>
    <col min="7" max="7" width="11" bestFit="1" customWidth="1"/>
    <col min="8" max="8" width="7.42578125" bestFit="1" customWidth="1"/>
    <col min="9" max="9" width="7.42578125" customWidth="1"/>
    <col min="11" max="11" width="23.7109375" customWidth="1"/>
  </cols>
  <sheetData>
    <row r="1" spans="1:19" ht="24" thickBot="1" x14ac:dyDescent="0.4">
      <c r="A1" s="611" t="s">
        <v>520</v>
      </c>
      <c r="D1" s="2"/>
      <c r="E1" s="2"/>
      <c r="F1" s="2"/>
      <c r="G1" s="2"/>
      <c r="H1" s="2"/>
      <c r="I1" s="2"/>
      <c r="K1" s="30"/>
      <c r="L1" s="30"/>
    </row>
    <row r="2" spans="1:19" x14ac:dyDescent="0.25">
      <c r="A2" s="187" t="s">
        <v>11</v>
      </c>
      <c r="B2" s="194" t="s">
        <v>276</v>
      </c>
      <c r="C2" s="194" t="s">
        <v>277</v>
      </c>
      <c r="D2" s="194" t="s">
        <v>278</v>
      </c>
      <c r="E2" s="194" t="s">
        <v>279</v>
      </c>
      <c r="F2" s="194" t="s">
        <v>280</v>
      </c>
      <c r="G2" s="194" t="s">
        <v>61</v>
      </c>
      <c r="H2" s="195" t="s">
        <v>60</v>
      </c>
      <c r="I2" s="307"/>
      <c r="J2" s="50" t="s">
        <v>4</v>
      </c>
      <c r="K2" t="s">
        <v>275</v>
      </c>
    </row>
    <row r="3" spans="1:19" x14ac:dyDescent="0.25">
      <c r="A3" s="196" t="s">
        <v>281</v>
      </c>
      <c r="B3" s="189"/>
      <c r="C3" s="189"/>
      <c r="D3" s="189"/>
      <c r="E3" s="197"/>
      <c r="F3" s="197"/>
      <c r="G3" s="198"/>
      <c r="H3" s="199"/>
      <c r="I3" s="370"/>
      <c r="J3" t="s">
        <v>66</v>
      </c>
      <c r="K3" t="s">
        <v>67</v>
      </c>
      <c r="M3" s="30"/>
    </row>
    <row r="4" spans="1:19" x14ac:dyDescent="0.25">
      <c r="A4" s="200" t="s">
        <v>284</v>
      </c>
      <c r="B4" s="201"/>
      <c r="C4" s="76"/>
      <c r="D4" s="76">
        <v>3</v>
      </c>
      <c r="E4" s="598" t="s">
        <v>190</v>
      </c>
      <c r="F4" s="197">
        <v>90.17</v>
      </c>
      <c r="G4" s="374">
        <v>3.3270489076189416E-2</v>
      </c>
      <c r="H4" s="371">
        <v>3.0000000000000001E-3</v>
      </c>
      <c r="I4" s="384"/>
      <c r="J4" s="29" t="s">
        <v>274</v>
      </c>
      <c r="K4" s="29" t="s">
        <v>283</v>
      </c>
      <c r="L4" s="29"/>
      <c r="M4" s="30"/>
    </row>
    <row r="5" spans="1:19" s="30" customFormat="1" x14ac:dyDescent="0.25">
      <c r="A5" s="196" t="s">
        <v>287</v>
      </c>
      <c r="B5" s="189"/>
      <c r="C5" s="189"/>
      <c r="D5" s="189"/>
      <c r="E5" s="598"/>
      <c r="F5" s="189"/>
      <c r="G5" s="375"/>
      <c r="H5" s="372"/>
      <c r="I5" s="385"/>
      <c r="J5" s="29" t="s">
        <v>282</v>
      </c>
      <c r="K5" s="29" t="s">
        <v>286</v>
      </c>
      <c r="L5" s="29"/>
      <c r="M5"/>
    </row>
    <row r="6" spans="1:19" x14ac:dyDescent="0.25">
      <c r="A6" s="202" t="s">
        <v>288</v>
      </c>
      <c r="B6" s="189"/>
      <c r="C6" s="189">
        <v>0.125</v>
      </c>
      <c r="D6" s="189"/>
      <c r="E6" s="598" t="s">
        <v>193</v>
      </c>
      <c r="F6" s="197">
        <v>805.54500000000007</v>
      </c>
      <c r="G6" s="376">
        <v>2.7916666666666671E-4</v>
      </c>
      <c r="H6" s="372">
        <v>2.2488131250000007E-4</v>
      </c>
      <c r="I6" s="385"/>
      <c r="J6" s="83" t="s">
        <v>285</v>
      </c>
      <c r="K6" s="365"/>
      <c r="L6" s="365"/>
    </row>
    <row r="7" spans="1:19" x14ac:dyDescent="0.25">
      <c r="A7" s="202" t="s">
        <v>288</v>
      </c>
      <c r="B7" s="189"/>
      <c r="C7" s="189">
        <v>7.4999999999999997E-2</v>
      </c>
      <c r="D7" s="189"/>
      <c r="E7" s="598" t="s">
        <v>196</v>
      </c>
      <c r="F7" s="197">
        <v>763.50800000000004</v>
      </c>
      <c r="G7" s="376">
        <v>1.6750000000000003E-4</v>
      </c>
      <c r="H7" s="372">
        <v>1.2788759000000003E-4</v>
      </c>
      <c r="I7" s="385"/>
      <c r="J7" s="364"/>
      <c r="K7" s="365"/>
      <c r="L7" s="365"/>
    </row>
    <row r="8" spans="1:19" x14ac:dyDescent="0.25">
      <c r="A8" s="202" t="s">
        <v>288</v>
      </c>
      <c r="B8" s="189"/>
      <c r="C8" s="189">
        <v>4.3999999999999997E-2</v>
      </c>
      <c r="D8" s="189"/>
      <c r="E8" s="598" t="s">
        <v>198</v>
      </c>
      <c r="F8" s="197">
        <v>862.57299999999998</v>
      </c>
      <c r="G8" s="376">
        <v>9.8266666666666679E-5</v>
      </c>
      <c r="H8" s="372">
        <v>8.4762173466666676E-5</v>
      </c>
      <c r="I8" s="385"/>
      <c r="J8" s="364"/>
      <c r="K8" s="365"/>
      <c r="L8" s="365"/>
      <c r="M8" s="31"/>
      <c r="N8" s="31"/>
      <c r="O8" s="31"/>
      <c r="P8" s="31"/>
      <c r="Q8" s="31"/>
      <c r="R8" s="31"/>
    </row>
    <row r="9" spans="1:19" x14ac:dyDescent="0.25">
      <c r="A9" s="202" t="s">
        <v>288</v>
      </c>
      <c r="B9" s="189"/>
      <c r="C9" s="189">
        <v>1.4E-2</v>
      </c>
      <c r="D9" s="189"/>
      <c r="E9" s="598" t="s">
        <v>200</v>
      </c>
      <c r="F9" s="197">
        <v>848.54600000000005</v>
      </c>
      <c r="G9" s="376">
        <v>3.126666666666667E-5</v>
      </c>
      <c r="H9" s="372">
        <v>2.6531204933333338E-5</v>
      </c>
      <c r="I9" s="385"/>
      <c r="J9" s="364"/>
      <c r="K9" s="365"/>
      <c r="L9" s="365"/>
      <c r="M9" s="31"/>
      <c r="N9" s="31"/>
      <c r="O9" s="31"/>
      <c r="P9" s="31"/>
      <c r="Q9" s="31"/>
      <c r="R9" s="31"/>
    </row>
    <row r="10" spans="1:19" x14ac:dyDescent="0.25">
      <c r="A10" s="202" t="s">
        <v>289</v>
      </c>
      <c r="B10" s="189"/>
      <c r="C10" s="189">
        <v>0.8</v>
      </c>
      <c r="D10" s="189"/>
      <c r="E10" s="598" t="s">
        <v>202</v>
      </c>
      <c r="F10" s="197">
        <v>662.42199999999991</v>
      </c>
      <c r="G10" s="376">
        <v>1.7866666666666671E-3</v>
      </c>
      <c r="H10" s="371">
        <v>1.1835273066666666E-3</v>
      </c>
      <c r="I10" s="384"/>
      <c r="J10" s="364"/>
      <c r="K10" s="365"/>
      <c r="L10" s="583"/>
      <c r="M10" s="31"/>
      <c r="N10" s="31"/>
      <c r="O10" s="31"/>
      <c r="P10" s="31"/>
      <c r="Q10" s="31"/>
      <c r="R10" s="31"/>
    </row>
    <row r="11" spans="1:19" x14ac:dyDescent="0.25">
      <c r="A11" s="202" t="s">
        <v>289</v>
      </c>
      <c r="B11" s="189"/>
      <c r="C11" s="189">
        <v>0.02</v>
      </c>
      <c r="D11" s="189"/>
      <c r="E11" s="598" t="s">
        <v>204</v>
      </c>
      <c r="F11" s="197">
        <v>663.43</v>
      </c>
      <c r="G11" s="376">
        <v>4.4666666666666677E-5</v>
      </c>
      <c r="H11" s="371">
        <v>2.9633206666666672E-5</v>
      </c>
      <c r="I11" s="384"/>
      <c r="J11" s="364"/>
      <c r="K11" s="365"/>
      <c r="L11" s="583"/>
      <c r="M11" s="31"/>
      <c r="N11" s="31"/>
      <c r="O11" s="31"/>
      <c r="P11" s="31"/>
      <c r="Q11" s="31"/>
      <c r="R11" s="31"/>
    </row>
    <row r="12" spans="1:19" x14ac:dyDescent="0.25">
      <c r="A12" s="202" t="s">
        <v>289</v>
      </c>
      <c r="B12" s="189"/>
      <c r="C12" s="189">
        <v>0.05</v>
      </c>
      <c r="D12" s="189"/>
      <c r="E12" s="598" t="s">
        <v>206</v>
      </c>
      <c r="F12" s="197">
        <v>740.38499999999999</v>
      </c>
      <c r="G12" s="376">
        <v>1.1166666666666669E-4</v>
      </c>
      <c r="H12" s="373">
        <v>8.2676325000000022E-5</v>
      </c>
      <c r="I12" s="386"/>
      <c r="J12" s="364"/>
      <c r="K12" s="365"/>
      <c r="L12" s="583"/>
      <c r="M12" s="31"/>
      <c r="N12" s="31"/>
      <c r="O12" s="31"/>
      <c r="P12" s="31"/>
      <c r="Q12" s="31"/>
      <c r="R12" s="31"/>
    </row>
    <row r="13" spans="1:19" x14ac:dyDescent="0.25">
      <c r="A13" s="202" t="s">
        <v>289</v>
      </c>
      <c r="B13" s="189"/>
      <c r="C13" s="189">
        <v>0.15</v>
      </c>
      <c r="D13" s="189"/>
      <c r="E13" s="598" t="s">
        <v>208</v>
      </c>
      <c r="F13" s="197">
        <v>741.39300000000003</v>
      </c>
      <c r="G13" s="376">
        <v>3.3500000000000007E-4</v>
      </c>
      <c r="H13" s="373">
        <v>2.4836665500000007E-4</v>
      </c>
      <c r="I13" s="386"/>
      <c r="J13" s="364"/>
      <c r="K13" s="365"/>
      <c r="L13" s="583"/>
      <c r="M13" s="31"/>
      <c r="N13" s="31"/>
      <c r="O13" s="31"/>
      <c r="P13" s="31"/>
      <c r="Q13" s="3"/>
      <c r="R13" s="3"/>
      <c r="S13" s="3"/>
    </row>
    <row r="14" spans="1:19" x14ac:dyDescent="0.25">
      <c r="A14" s="202" t="s">
        <v>290</v>
      </c>
      <c r="B14" s="189">
        <v>10000</v>
      </c>
      <c r="C14" s="189"/>
      <c r="D14" s="189"/>
      <c r="E14" s="598" t="s">
        <v>235</v>
      </c>
      <c r="F14" s="197">
        <v>924.25799999999992</v>
      </c>
      <c r="G14" s="376">
        <v>5.535259603675412E-5</v>
      </c>
      <c r="H14" s="373">
        <v>5.1160079707738285E-5</v>
      </c>
      <c r="I14" s="386"/>
      <c r="J14" s="364"/>
      <c r="K14" s="365"/>
      <c r="L14" s="583"/>
      <c r="M14" s="3"/>
      <c r="N14" s="31"/>
      <c r="O14" s="31"/>
      <c r="P14" s="31"/>
      <c r="Q14" s="214"/>
      <c r="R14" s="3"/>
      <c r="S14" s="3"/>
    </row>
    <row r="15" spans="1:19" x14ac:dyDescent="0.25">
      <c r="A15" s="188"/>
      <c r="B15" s="189"/>
      <c r="C15" s="189">
        <v>0.1</v>
      </c>
      <c r="D15" s="189"/>
      <c r="E15" s="598" t="s">
        <v>237</v>
      </c>
      <c r="F15" s="197">
        <v>471.42999999999995</v>
      </c>
      <c r="G15" s="376">
        <v>2.2333333333333339E-4</v>
      </c>
      <c r="H15" s="372">
        <v>1.0528603333333335E-4</v>
      </c>
      <c r="I15" s="385"/>
      <c r="J15" s="365"/>
      <c r="K15" s="365"/>
      <c r="L15" s="583"/>
      <c r="M15" s="3"/>
      <c r="N15" s="31"/>
      <c r="O15" s="31"/>
      <c r="P15" s="31"/>
      <c r="Q15" s="214"/>
      <c r="R15" s="3"/>
      <c r="S15" s="3"/>
    </row>
    <row r="16" spans="1:19" x14ac:dyDescent="0.25">
      <c r="A16" s="188"/>
      <c r="B16" s="189"/>
      <c r="C16" s="189">
        <v>0.1</v>
      </c>
      <c r="D16" s="189"/>
      <c r="E16" s="598" t="s">
        <v>212</v>
      </c>
      <c r="F16" s="197">
        <v>443.41999999999996</v>
      </c>
      <c r="G16" s="376">
        <v>2.2333333333333339E-4</v>
      </c>
      <c r="H16" s="372">
        <v>9.9030466666666673E-5</v>
      </c>
      <c r="I16" s="385"/>
      <c r="J16" s="365"/>
      <c r="K16" s="365"/>
      <c r="L16" s="583"/>
      <c r="M16" s="3"/>
      <c r="N16" s="31"/>
      <c r="O16" s="31"/>
      <c r="P16" s="31"/>
      <c r="Q16" s="214"/>
      <c r="R16" s="3"/>
      <c r="S16" s="3"/>
    </row>
    <row r="17" spans="1:19" x14ac:dyDescent="0.25">
      <c r="A17" s="188"/>
      <c r="B17" s="189"/>
      <c r="C17" s="189">
        <v>0.1</v>
      </c>
      <c r="D17" s="189"/>
      <c r="E17" s="76" t="s">
        <v>214</v>
      </c>
      <c r="F17" s="197">
        <v>455.43099999999993</v>
      </c>
      <c r="G17" s="376">
        <v>2.2333333333333339E-4</v>
      </c>
      <c r="H17" s="372">
        <v>1.0171292333333334E-4</v>
      </c>
      <c r="I17" s="385"/>
      <c r="J17" s="365"/>
      <c r="K17" s="365"/>
      <c r="L17" s="583"/>
      <c r="M17" s="3"/>
      <c r="N17" s="31"/>
      <c r="O17" s="31"/>
      <c r="P17" s="31"/>
      <c r="Q17" s="214"/>
      <c r="R17" s="3"/>
      <c r="S17" s="3"/>
    </row>
    <row r="18" spans="1:19" x14ac:dyDescent="0.25">
      <c r="A18" s="188"/>
      <c r="B18" s="189"/>
      <c r="C18" s="189">
        <v>0.1</v>
      </c>
      <c r="D18" s="189"/>
      <c r="E18" s="76" t="s">
        <v>216</v>
      </c>
      <c r="F18" s="197">
        <v>458.45499999999993</v>
      </c>
      <c r="G18" s="376">
        <v>2.2333333333333339E-4</v>
      </c>
      <c r="H18" s="372">
        <v>1.0238828333333334E-4</v>
      </c>
      <c r="I18" s="385"/>
      <c r="J18" s="365"/>
      <c r="K18" s="365"/>
      <c r="L18" s="583"/>
      <c r="M18" s="3"/>
      <c r="N18" s="31"/>
      <c r="O18" s="31"/>
      <c r="P18" s="365"/>
      <c r="Q18" s="214"/>
      <c r="R18" s="3"/>
      <c r="S18" s="3"/>
    </row>
    <row r="19" spans="1:19" x14ac:dyDescent="0.25">
      <c r="A19" s="188"/>
      <c r="B19" s="189"/>
      <c r="C19" s="189">
        <v>0.1</v>
      </c>
      <c r="D19" s="189"/>
      <c r="E19" s="598" t="s">
        <v>239</v>
      </c>
      <c r="F19" s="197">
        <v>224.16799999999998</v>
      </c>
      <c r="G19" s="376">
        <v>2.2333333333333339E-4</v>
      </c>
      <c r="H19" s="372">
        <v>5.0064186666666676E-5</v>
      </c>
      <c r="I19" s="385"/>
      <c r="J19" s="365"/>
      <c r="K19" s="365"/>
      <c r="L19" s="583"/>
      <c r="M19" s="3"/>
      <c r="N19" s="31"/>
      <c r="O19" s="31"/>
      <c r="P19" s="31"/>
      <c r="Q19" s="3"/>
      <c r="R19" s="3"/>
      <c r="S19" s="3"/>
    </row>
    <row r="20" spans="1:19" x14ac:dyDescent="0.25">
      <c r="A20" s="608"/>
      <c r="B20" s="573"/>
      <c r="C20" s="573">
        <v>0.1</v>
      </c>
      <c r="D20" s="573"/>
      <c r="E20" s="574" t="s">
        <v>452</v>
      </c>
      <c r="F20" s="581">
        <v>751.72320000000002</v>
      </c>
      <c r="G20" s="576">
        <v>2.2333333333333339E-4</v>
      </c>
      <c r="H20" s="577">
        <v>1.6788484800000003E-4</v>
      </c>
      <c r="I20" s="385" t="s">
        <v>508</v>
      </c>
      <c r="J20" s="365"/>
      <c r="K20" s="365"/>
      <c r="L20" s="583"/>
      <c r="M20" s="31"/>
      <c r="N20" s="31"/>
      <c r="O20" s="31"/>
      <c r="P20" s="3"/>
      <c r="Q20" s="3"/>
      <c r="R20" s="3"/>
      <c r="S20" s="3"/>
    </row>
    <row r="21" spans="1:19" x14ac:dyDescent="0.25">
      <c r="A21" s="572"/>
      <c r="B21" s="573"/>
      <c r="C21" s="573">
        <v>0.1</v>
      </c>
      <c r="D21" s="573"/>
      <c r="E21" s="574" t="s">
        <v>231</v>
      </c>
      <c r="F21" s="575">
        <v>306.31899999999996</v>
      </c>
      <c r="G21" s="576">
        <v>2.2333333333333339E-4</v>
      </c>
      <c r="H21" s="577">
        <v>6.8411243333333348E-5</v>
      </c>
      <c r="I21" s="385" t="s">
        <v>502</v>
      </c>
      <c r="J21" s="364"/>
      <c r="K21" s="365"/>
      <c r="L21" s="583"/>
      <c r="M21" s="31"/>
      <c r="N21" s="31"/>
      <c r="O21" s="31"/>
      <c r="P21" s="584"/>
      <c r="Q21" s="214"/>
      <c r="R21" s="3"/>
      <c r="S21" s="3"/>
    </row>
    <row r="22" spans="1:19" x14ac:dyDescent="0.25">
      <c r="A22" s="188"/>
      <c r="B22" s="189"/>
      <c r="C22" s="189">
        <v>0.1</v>
      </c>
      <c r="D22" s="189"/>
      <c r="E22" s="598" t="s">
        <v>222</v>
      </c>
      <c r="F22" s="197">
        <v>245.12699999999998</v>
      </c>
      <c r="G22" s="376">
        <v>2.2333333333333339E-4</v>
      </c>
      <c r="H22" s="372">
        <v>5.4745030000000007E-5</v>
      </c>
      <c r="I22" s="385"/>
      <c r="J22" s="364"/>
      <c r="K22" s="365"/>
      <c r="L22" s="583"/>
      <c r="M22" s="31"/>
      <c r="N22" s="31"/>
      <c r="O22" s="31"/>
      <c r="P22" s="365"/>
      <c r="Q22" s="214"/>
      <c r="R22" s="3"/>
      <c r="S22" s="3"/>
    </row>
    <row r="23" spans="1:19" x14ac:dyDescent="0.25">
      <c r="A23" s="188"/>
      <c r="B23" s="189"/>
      <c r="C23" s="189">
        <v>0.1</v>
      </c>
      <c r="D23" s="189"/>
      <c r="E23" s="598" t="s">
        <v>241</v>
      </c>
      <c r="F23" s="197">
        <v>399.452</v>
      </c>
      <c r="G23" s="376">
        <v>2.2333333333333339E-4</v>
      </c>
      <c r="H23" s="372">
        <v>8.9210946666666696E-5</v>
      </c>
      <c r="I23" s="385"/>
      <c r="J23" s="364"/>
      <c r="K23" s="365"/>
      <c r="L23" s="583"/>
      <c r="M23" s="31"/>
      <c r="N23" s="31"/>
      <c r="O23" s="31"/>
      <c r="P23" s="31"/>
      <c r="Q23" s="214"/>
      <c r="R23" s="3"/>
      <c r="S23" s="3"/>
    </row>
    <row r="24" spans="1:19" x14ac:dyDescent="0.25">
      <c r="A24" s="572"/>
      <c r="B24" s="573"/>
      <c r="C24" s="573">
        <v>0.1</v>
      </c>
      <c r="D24" s="573"/>
      <c r="E24" s="574" t="s">
        <v>218</v>
      </c>
      <c r="F24" s="575">
        <v>422.29499999999996</v>
      </c>
      <c r="G24" s="576">
        <v>2.2333333333333339E-4</v>
      </c>
      <c r="H24" s="577">
        <v>9.4312550000000012E-5</v>
      </c>
      <c r="I24" s="385" t="s">
        <v>503</v>
      </c>
      <c r="J24" s="364"/>
      <c r="K24" s="365"/>
      <c r="L24" s="583"/>
      <c r="M24" s="31"/>
      <c r="N24" s="31"/>
      <c r="O24" s="31"/>
      <c r="P24" s="31"/>
      <c r="Q24" s="214"/>
      <c r="R24" s="3"/>
      <c r="S24" s="3"/>
    </row>
    <row r="25" spans="1:19" x14ac:dyDescent="0.25">
      <c r="A25" s="572"/>
      <c r="B25" s="573"/>
      <c r="C25" s="573">
        <v>0.1</v>
      </c>
      <c r="D25" s="573"/>
      <c r="E25" s="574" t="s">
        <v>233</v>
      </c>
      <c r="F25" s="575">
        <v>1579.6081999999997</v>
      </c>
      <c r="G25" s="576">
        <v>2.2333333333333339E-4</v>
      </c>
      <c r="H25" s="577">
        <v>3.527791646666667E-4</v>
      </c>
      <c r="I25" s="385" t="s">
        <v>506</v>
      </c>
      <c r="J25" s="364"/>
      <c r="K25" s="365"/>
      <c r="L25" s="583"/>
      <c r="M25" s="31"/>
      <c r="N25" s="31"/>
      <c r="O25" s="31"/>
      <c r="P25" s="31"/>
      <c r="Q25" s="214"/>
      <c r="R25" s="3"/>
      <c r="S25" s="3"/>
    </row>
    <row r="26" spans="1:19" x14ac:dyDescent="0.25">
      <c r="A26" s="572"/>
      <c r="B26" s="573"/>
      <c r="C26" s="573">
        <v>0.1</v>
      </c>
      <c r="D26" s="573"/>
      <c r="E26" s="574" t="s">
        <v>220</v>
      </c>
      <c r="F26" s="575">
        <v>729.14299999999992</v>
      </c>
      <c r="G26" s="576">
        <v>2.2333333333333339E-4</v>
      </c>
      <c r="H26" s="577">
        <v>1.628419366666667E-4</v>
      </c>
      <c r="I26" s="385" t="s">
        <v>507</v>
      </c>
      <c r="J26" s="364"/>
      <c r="K26" s="365"/>
      <c r="L26" s="583"/>
      <c r="M26" s="31"/>
      <c r="N26" s="31"/>
      <c r="O26" s="31"/>
      <c r="P26" s="31"/>
      <c r="Q26" s="214"/>
      <c r="R26" s="3"/>
      <c r="S26" s="3"/>
    </row>
    <row r="27" spans="1:19" x14ac:dyDescent="0.25">
      <c r="A27" s="188"/>
      <c r="B27" s="189"/>
      <c r="C27" s="189">
        <v>0.1</v>
      </c>
      <c r="D27" s="189"/>
      <c r="E27" s="598" t="s">
        <v>224</v>
      </c>
      <c r="F27" s="197">
        <v>836.94489999999996</v>
      </c>
      <c r="G27" s="376">
        <v>2.2333333333333339E-4</v>
      </c>
      <c r="H27" s="372">
        <v>1.8691769433333335E-4</v>
      </c>
      <c r="I27" s="385"/>
      <c r="J27" s="364"/>
      <c r="K27" s="365"/>
      <c r="L27" s="583"/>
      <c r="M27" s="31"/>
      <c r="N27" s="31"/>
      <c r="O27" s="31"/>
      <c r="P27" s="31"/>
      <c r="Q27" s="214"/>
      <c r="R27" s="3"/>
      <c r="S27" s="3"/>
    </row>
    <row r="28" spans="1:19" x14ac:dyDescent="0.25">
      <c r="A28" s="188"/>
      <c r="B28" s="189"/>
      <c r="C28" s="189">
        <v>0.1</v>
      </c>
      <c r="D28" s="189"/>
      <c r="E28" s="598" t="s">
        <v>226</v>
      </c>
      <c r="F28" s="197">
        <v>690.62689999999998</v>
      </c>
      <c r="G28" s="376">
        <v>2.2333333333333339E-4</v>
      </c>
      <c r="H28" s="372">
        <v>1.5424000766666671E-4</v>
      </c>
      <c r="I28" s="385"/>
      <c r="J28" s="364"/>
      <c r="K28" s="365"/>
      <c r="L28" s="583"/>
      <c r="M28" s="31"/>
      <c r="N28" s="31"/>
      <c r="O28" s="31"/>
      <c r="P28" s="31"/>
      <c r="Q28" s="214"/>
      <c r="R28" s="3"/>
      <c r="S28" s="3"/>
    </row>
    <row r="29" spans="1:19" x14ac:dyDescent="0.25">
      <c r="A29" s="188"/>
      <c r="B29" s="189"/>
      <c r="C29" s="189">
        <v>0.1</v>
      </c>
      <c r="D29" s="189"/>
      <c r="E29" s="598" t="s">
        <v>228</v>
      </c>
      <c r="F29" s="197">
        <v>908.69690000000003</v>
      </c>
      <c r="G29" s="376">
        <v>2.2333333333333339E-4</v>
      </c>
      <c r="H29" s="372">
        <v>2.029423076666667E-4</v>
      </c>
      <c r="I29" s="385"/>
      <c r="J29" s="364"/>
      <c r="K29" s="365"/>
      <c r="L29" s="583"/>
      <c r="M29" s="31"/>
      <c r="N29" s="31"/>
      <c r="O29" s="31"/>
      <c r="P29" s="31"/>
      <c r="Q29" s="214"/>
      <c r="R29" s="3"/>
      <c r="S29" s="3"/>
    </row>
    <row r="30" spans="1:19" x14ac:dyDescent="0.25">
      <c r="A30" s="188"/>
      <c r="B30" s="189"/>
      <c r="C30" s="189">
        <v>0.1</v>
      </c>
      <c r="D30" s="189"/>
      <c r="E30" s="598" t="s">
        <v>243</v>
      </c>
      <c r="F30" s="197">
        <v>376.36900000000003</v>
      </c>
      <c r="G30" s="376">
        <v>2.2333333333333339E-4</v>
      </c>
      <c r="H30" s="372">
        <v>8.4055743333333357E-5</v>
      </c>
      <c r="I30" s="385"/>
      <c r="J30" s="364"/>
      <c r="K30" s="365"/>
      <c r="L30" s="583"/>
      <c r="M30" s="31"/>
      <c r="N30" s="31"/>
      <c r="O30" s="31"/>
      <c r="P30" s="31"/>
      <c r="Q30" s="214"/>
      <c r="R30" s="3"/>
      <c r="S30" s="3"/>
    </row>
    <row r="31" spans="1:19" x14ac:dyDescent="0.25">
      <c r="A31" s="188"/>
      <c r="B31" s="189"/>
      <c r="C31" s="189">
        <v>0.1</v>
      </c>
      <c r="D31" s="189"/>
      <c r="E31" s="598" t="s">
        <v>210</v>
      </c>
      <c r="F31" s="197">
        <v>783.54099999999994</v>
      </c>
      <c r="G31" s="376">
        <v>2.2333333333333339E-4</v>
      </c>
      <c r="H31" s="372">
        <v>1.7499082333333334E-4</v>
      </c>
      <c r="I31" s="385"/>
      <c r="J31" s="364"/>
      <c r="K31" s="365"/>
      <c r="L31" s="583"/>
      <c r="M31" s="31"/>
      <c r="N31" s="31"/>
      <c r="O31" s="31"/>
      <c r="P31" s="31"/>
      <c r="Q31" s="214"/>
      <c r="R31" s="3"/>
      <c r="S31" s="3"/>
    </row>
    <row r="32" spans="1:19" x14ac:dyDescent="0.25">
      <c r="A32" s="382"/>
      <c r="B32" s="367"/>
      <c r="C32" s="189">
        <v>0.1</v>
      </c>
      <c r="D32" s="367"/>
      <c r="E32" s="368" t="s">
        <v>444</v>
      </c>
      <c r="F32" s="387">
        <v>175.82140000000001</v>
      </c>
      <c r="G32" s="376">
        <v>2.2333333333333339E-4</v>
      </c>
      <c r="H32" s="372">
        <v>3.9266779333333341E-5</v>
      </c>
      <c r="I32" s="385"/>
      <c r="J32" s="364"/>
      <c r="K32" s="365"/>
      <c r="L32" s="583"/>
      <c r="M32" s="214"/>
      <c r="N32" s="214"/>
      <c r="O32" s="31"/>
      <c r="P32" s="31"/>
      <c r="Q32" s="214"/>
      <c r="R32" s="3"/>
      <c r="S32" s="3"/>
    </row>
    <row r="33" spans="1:19" x14ac:dyDescent="0.25">
      <c r="A33" s="382"/>
      <c r="B33" s="367"/>
      <c r="C33" s="189">
        <v>0.1</v>
      </c>
      <c r="D33" s="367"/>
      <c r="E33" s="368" t="s">
        <v>445</v>
      </c>
      <c r="F33" s="369">
        <v>351.64280000000002</v>
      </c>
      <c r="G33" s="376">
        <v>2.2333333333333339E-4</v>
      </c>
      <c r="H33" s="372">
        <v>7.8533558666666681E-5</v>
      </c>
      <c r="I33" s="385"/>
      <c r="K33" s="365"/>
      <c r="L33" s="583"/>
      <c r="M33" s="214"/>
      <c r="N33" s="214"/>
      <c r="O33" s="31"/>
      <c r="P33" s="31"/>
      <c r="Q33" s="214"/>
      <c r="R33" s="3"/>
      <c r="S33" s="3"/>
    </row>
    <row r="34" spans="1:19" x14ac:dyDescent="0.25">
      <c r="A34" s="582"/>
      <c r="B34" s="578"/>
      <c r="C34" s="573">
        <v>0.1</v>
      </c>
      <c r="D34" s="578"/>
      <c r="E34" s="579" t="s">
        <v>443</v>
      </c>
      <c r="F34" s="580">
        <v>864.46960000000001</v>
      </c>
      <c r="G34" s="576">
        <v>2.2333333333333339E-4</v>
      </c>
      <c r="H34" s="577">
        <v>1.9306487733333338E-4</v>
      </c>
      <c r="I34" s="385" t="s">
        <v>504</v>
      </c>
      <c r="K34" s="365"/>
      <c r="L34" s="583"/>
      <c r="M34" s="214"/>
      <c r="N34" s="214"/>
      <c r="O34" s="31"/>
      <c r="P34" s="31"/>
      <c r="Q34" s="214"/>
      <c r="R34" s="3"/>
      <c r="S34" s="3"/>
    </row>
    <row r="35" spans="1:19" x14ac:dyDescent="0.25">
      <c r="A35" s="366"/>
      <c r="B35" s="367"/>
      <c r="C35" s="189">
        <v>0.1</v>
      </c>
      <c r="D35" s="367"/>
      <c r="E35" s="368" t="s">
        <v>450</v>
      </c>
      <c r="F35" s="369">
        <v>572.51130000000001</v>
      </c>
      <c r="G35" s="376">
        <v>2.2333333333333339E-4</v>
      </c>
      <c r="H35" s="372">
        <v>1.2786085700000003E-4</v>
      </c>
      <c r="I35" s="385"/>
      <c r="K35" s="365"/>
      <c r="L35" s="583"/>
      <c r="M35" s="214"/>
      <c r="N35" s="214"/>
      <c r="O35" s="31"/>
      <c r="P35" s="31"/>
      <c r="Q35" s="214"/>
      <c r="R35" s="3"/>
      <c r="S35" s="3"/>
    </row>
    <row r="36" spans="1:19" x14ac:dyDescent="0.25">
      <c r="A36" s="366"/>
      <c r="B36" s="367"/>
      <c r="C36" s="189">
        <v>0.1</v>
      </c>
      <c r="D36" s="367"/>
      <c r="E36" s="368" t="s">
        <v>446</v>
      </c>
      <c r="F36" s="369">
        <v>189.32</v>
      </c>
      <c r="G36" s="376">
        <v>2.2333333333333339E-4</v>
      </c>
      <c r="H36" s="372">
        <v>4.2281466666666678E-5</v>
      </c>
      <c r="I36" s="385"/>
      <c r="K36" s="365"/>
      <c r="L36" s="583"/>
      <c r="M36" s="214"/>
      <c r="N36" s="214"/>
      <c r="O36" s="31"/>
      <c r="P36" s="31"/>
      <c r="Q36" s="214"/>
      <c r="R36" s="3"/>
      <c r="S36" s="3"/>
    </row>
    <row r="37" spans="1:19" x14ac:dyDescent="0.25">
      <c r="A37" s="582"/>
      <c r="B37" s="578"/>
      <c r="C37" s="573">
        <v>0.1</v>
      </c>
      <c r="D37" s="578"/>
      <c r="E37" s="579" t="s">
        <v>447</v>
      </c>
      <c r="F37" s="580">
        <v>329.1995</v>
      </c>
      <c r="G37" s="576">
        <v>2.2333333333333339E-4</v>
      </c>
      <c r="H37" s="577">
        <v>7.3521221666666674E-5</v>
      </c>
      <c r="I37" t="s">
        <v>505</v>
      </c>
      <c r="K37" s="365"/>
      <c r="L37" s="583"/>
      <c r="M37" s="214"/>
      <c r="N37" s="214"/>
      <c r="O37" s="31"/>
      <c r="P37" s="31"/>
      <c r="Q37" s="214"/>
      <c r="R37" s="3"/>
      <c r="S37" s="3"/>
    </row>
    <row r="38" spans="1:19" x14ac:dyDescent="0.25">
      <c r="A38" s="582"/>
      <c r="B38" s="578"/>
      <c r="C38" s="573">
        <v>0.1</v>
      </c>
      <c r="D38" s="578"/>
      <c r="E38" s="579" t="s">
        <v>448</v>
      </c>
      <c r="F38" s="580">
        <v>1584.9989</v>
      </c>
      <c r="G38" s="576">
        <v>2.2333333333333339E-4</v>
      </c>
      <c r="H38" s="577">
        <v>3.5398308766666677E-4</v>
      </c>
      <c r="I38" s="385" t="s">
        <v>504</v>
      </c>
      <c r="K38" s="365"/>
      <c r="L38" s="583"/>
      <c r="M38" s="214"/>
      <c r="N38" s="214"/>
      <c r="O38" s="31"/>
      <c r="P38" s="31"/>
      <c r="Q38" s="214"/>
      <c r="R38" s="3"/>
      <c r="S38" s="3"/>
    </row>
    <row r="39" spans="1:19" x14ac:dyDescent="0.25">
      <c r="A39" s="582"/>
      <c r="B39" s="578"/>
      <c r="C39" s="578">
        <v>0.1</v>
      </c>
      <c r="D39" s="578"/>
      <c r="E39" s="579" t="s">
        <v>489</v>
      </c>
      <c r="F39" s="580">
        <v>257.25</v>
      </c>
      <c r="G39" s="576">
        <v>2.2333333333333339E-4</v>
      </c>
      <c r="H39" s="577">
        <v>5.7452500000000013E-5</v>
      </c>
      <c r="I39" s="385"/>
      <c r="K39" s="365"/>
      <c r="L39" s="583"/>
      <c r="M39" s="31"/>
      <c r="N39" s="31"/>
      <c r="O39" s="31"/>
      <c r="P39" s="31"/>
      <c r="Q39" s="214"/>
      <c r="R39" s="3"/>
      <c r="S39" s="3"/>
    </row>
    <row r="40" spans="1:19" ht="15.75" thickBot="1" x14ac:dyDescent="0.3">
      <c r="A40" s="192"/>
      <c r="B40" s="193"/>
      <c r="C40" s="193"/>
      <c r="D40" s="193"/>
      <c r="E40" s="193"/>
      <c r="F40" s="193"/>
      <c r="G40" s="203" t="s">
        <v>10</v>
      </c>
      <c r="H40" s="204">
        <v>8.2197518912744058E-3</v>
      </c>
      <c r="I40" s="370"/>
      <c r="K40" s="365"/>
      <c r="L40" s="583"/>
      <c r="M40" s="31"/>
      <c r="N40" s="31"/>
      <c r="O40" s="31"/>
      <c r="P40" s="31"/>
      <c r="Q40" s="214"/>
      <c r="R40" s="3"/>
      <c r="S40" s="3"/>
    </row>
    <row r="41" spans="1:19" x14ac:dyDescent="0.25">
      <c r="K41" s="365"/>
      <c r="L41" s="583"/>
      <c r="M41" s="31"/>
      <c r="N41" s="31"/>
      <c r="O41" s="31"/>
      <c r="P41" s="31"/>
      <c r="Q41" s="214"/>
      <c r="R41" s="3"/>
      <c r="S4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2"/>
  <sheetViews>
    <sheetView tabSelected="1" workbookViewId="0">
      <pane ySplit="1" topLeftCell="A105" activePane="bottomLeft" state="frozen"/>
      <selection pane="bottomLeft" activeCell="G131" sqref="G131"/>
    </sheetView>
  </sheetViews>
  <sheetFormatPr baseColWidth="10" defaultColWidth="9.140625" defaultRowHeight="15" x14ac:dyDescent="0.25"/>
  <cols>
    <col min="1" max="1" width="9.140625" style="30"/>
    <col min="2" max="2" width="11.42578125" customWidth="1"/>
    <col min="3" max="3" width="8.42578125" bestFit="1" customWidth="1"/>
    <col min="4" max="4" width="10.28515625" bestFit="1" customWidth="1"/>
    <col min="5" max="5" width="14.28515625" customWidth="1"/>
    <col min="6" max="6" width="10.7109375" style="51" customWidth="1"/>
    <col min="7" max="7" width="14.42578125" customWidth="1"/>
    <col min="8" max="8" width="19.42578125" bestFit="1" customWidth="1"/>
    <col min="9" max="9" width="21.85546875" bestFit="1" customWidth="1"/>
    <col min="10" max="10" width="23" customWidth="1"/>
    <col min="17" max="17" width="14" customWidth="1"/>
    <col min="18" max="18" width="18.7109375" style="2" customWidth="1"/>
    <col min="19" max="19" width="12.42578125" customWidth="1"/>
    <col min="20" max="20" width="13.28515625" customWidth="1"/>
    <col min="21" max="21" width="10.7109375" customWidth="1"/>
    <col min="22" max="22" width="13.140625" customWidth="1"/>
    <col min="23" max="23" width="13.140625" style="41" customWidth="1"/>
    <col min="24" max="24" width="10.7109375" style="41" customWidth="1"/>
    <col min="27" max="27" width="12.42578125" bestFit="1" customWidth="1"/>
    <col min="33" max="34" width="9.140625" style="30"/>
    <col min="35" max="35" width="10" style="30" bestFit="1" customWidth="1"/>
    <col min="36" max="16384" width="9.140625" style="30"/>
  </cols>
  <sheetData>
    <row r="1" spans="1:37" ht="24" thickBot="1" x14ac:dyDescent="0.4">
      <c r="A1" s="614" t="s">
        <v>515</v>
      </c>
    </row>
    <row r="2" spans="1:37" s="52" customFormat="1" ht="60" x14ac:dyDescent="0.25">
      <c r="B2" s="53" t="s">
        <v>39</v>
      </c>
      <c r="C2" s="54" t="s">
        <v>40</v>
      </c>
      <c r="D2" s="54" t="s">
        <v>41</v>
      </c>
      <c r="E2" s="54" t="s">
        <v>42</v>
      </c>
      <c r="F2" s="55" t="s">
        <v>43</v>
      </c>
      <c r="G2" s="54" t="s">
        <v>44</v>
      </c>
      <c r="H2" s="54" t="s">
        <v>45</v>
      </c>
      <c r="I2" s="54" t="s">
        <v>46</v>
      </c>
      <c r="J2" s="54" t="s">
        <v>47</v>
      </c>
      <c r="K2" s="54" t="s">
        <v>48</v>
      </c>
      <c r="L2" s="54" t="s">
        <v>49</v>
      </c>
      <c r="M2" s="54" t="s">
        <v>50</v>
      </c>
      <c r="N2" s="54" t="s">
        <v>51</v>
      </c>
      <c r="O2" s="54" t="s">
        <v>52</v>
      </c>
      <c r="P2" s="54" t="s">
        <v>53</v>
      </c>
      <c r="Q2" s="54" t="s">
        <v>54</v>
      </c>
      <c r="R2" s="54" t="s">
        <v>55</v>
      </c>
      <c r="S2" s="54" t="s">
        <v>56</v>
      </c>
      <c r="T2" s="54" t="s">
        <v>57</v>
      </c>
      <c r="U2" s="54" t="s">
        <v>58</v>
      </c>
      <c r="V2" s="54" t="s">
        <v>59</v>
      </c>
      <c r="W2" s="56" t="s">
        <v>60</v>
      </c>
      <c r="X2" s="56" t="s">
        <v>61</v>
      </c>
      <c r="Y2" s="57"/>
      <c r="Z2" s="57" t="s">
        <v>62</v>
      </c>
      <c r="AA2" s="57" t="s">
        <v>63</v>
      </c>
      <c r="AB2" s="54" t="s">
        <v>64</v>
      </c>
      <c r="AC2" s="54"/>
      <c r="AD2" s="54" t="s">
        <v>60</v>
      </c>
      <c r="AE2" s="54" t="s">
        <v>60</v>
      </c>
      <c r="AF2" s="58" t="s">
        <v>60</v>
      </c>
      <c r="AH2" s="59" t="s">
        <v>11</v>
      </c>
    </row>
    <row r="3" spans="1:37" s="52" customFormat="1" ht="15.75" thickBot="1" x14ac:dyDescent="0.3">
      <c r="B3" s="60" t="s">
        <v>65</v>
      </c>
      <c r="C3" s="61"/>
      <c r="D3" s="61"/>
      <c r="E3" s="61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3"/>
      <c r="X3" s="63"/>
      <c r="Y3" s="64"/>
      <c r="Z3" s="64"/>
      <c r="AA3" s="64"/>
      <c r="AB3" s="61"/>
      <c r="AC3" s="61"/>
      <c r="AD3" s="61"/>
      <c r="AE3" s="61"/>
      <c r="AF3" s="65"/>
      <c r="AH3" s="66" t="s">
        <v>66</v>
      </c>
      <c r="AI3" t="s">
        <v>67</v>
      </c>
    </row>
    <row r="4" spans="1:37" ht="15.75" thickBot="1" x14ac:dyDescent="0.3">
      <c r="B4" s="67"/>
      <c r="C4" s="308" t="s">
        <v>68</v>
      </c>
      <c r="D4" s="339">
        <f>'Macromolecular Composition'!D4</f>
        <v>0.58653846153846156</v>
      </c>
      <c r="E4" s="69">
        <f>'Amino acids'!D6</f>
        <v>0.1118</v>
      </c>
      <c r="F4" s="70">
        <f t="shared" ref="F4:F70" si="0">X4</f>
        <v>0.59826774359762835</v>
      </c>
      <c r="G4" s="71" t="s">
        <v>69</v>
      </c>
      <c r="H4" s="71" t="s">
        <v>70</v>
      </c>
      <c r="I4" s="71" t="s">
        <v>71</v>
      </c>
      <c r="J4" s="71" t="s">
        <v>72</v>
      </c>
      <c r="K4" s="71">
        <v>3</v>
      </c>
      <c r="L4" s="71">
        <v>7</v>
      </c>
      <c r="M4" s="71">
        <v>1</v>
      </c>
      <c r="N4" s="71">
        <v>2</v>
      </c>
      <c r="O4" s="71">
        <v>0</v>
      </c>
      <c r="P4" s="71">
        <v>0</v>
      </c>
      <c r="Q4" s="71">
        <f t="shared" ref="Q4:Q36" si="1">(K4*12.011)+(L4*1.008)+(N4*15.999)+(14.007*M4)+(O4*30.974)+(P4*32.066)</f>
        <v>89.094000000000008</v>
      </c>
      <c r="R4" s="72" t="s">
        <v>73</v>
      </c>
      <c r="S4" s="71">
        <f t="shared" ref="S4:S23" si="2">Q4-$Q$117</f>
        <v>71.079000000000008</v>
      </c>
      <c r="T4" s="71">
        <f t="shared" ref="T4:T63" si="3">E4*S4</f>
        <v>7.9466322000000007</v>
      </c>
      <c r="U4" s="68">
        <f>SUM(T4:T23)</f>
        <v>109.6081156</v>
      </c>
      <c r="V4" s="68">
        <f t="shared" ref="V4:V23" si="4">T4/$U$4</f>
        <v>7.2500399778791566E-2</v>
      </c>
      <c r="W4" s="73">
        <f>V4*$D$4</f>
        <v>4.2524272947175826E-2</v>
      </c>
      <c r="X4" s="69">
        <f t="shared" ref="X4:X36" si="5">W4/S4*1000</f>
        <v>0.59826774359762835</v>
      </c>
      <c r="Y4" s="71"/>
      <c r="Z4" s="68"/>
      <c r="AA4" s="68"/>
      <c r="AB4" s="68"/>
      <c r="AC4" s="68"/>
      <c r="AD4" s="68">
        <f t="shared" ref="AD4:AD75" si="6">(F4*Q4)/1000</f>
        <v>5.3302066348087103E-2</v>
      </c>
      <c r="AE4" s="68"/>
      <c r="AF4" s="74"/>
    </row>
    <row r="5" spans="1:37" x14ac:dyDescent="0.25">
      <c r="B5" s="67"/>
      <c r="C5" s="68"/>
      <c r="D5" s="340"/>
      <c r="E5" s="69">
        <f>'Amino acids'!D7</f>
        <v>6.6200000000000009E-2</v>
      </c>
      <c r="F5" s="70">
        <f t="shared" si="0"/>
        <v>0.35425156195136848</v>
      </c>
      <c r="G5" s="71" t="s">
        <v>74</v>
      </c>
      <c r="H5" s="71" t="s">
        <v>70</v>
      </c>
      <c r="I5" s="71" t="s">
        <v>71</v>
      </c>
      <c r="J5" s="71" t="s">
        <v>75</v>
      </c>
      <c r="K5" s="71">
        <v>6</v>
      </c>
      <c r="L5" s="71">
        <v>15</v>
      </c>
      <c r="M5" s="71">
        <v>4</v>
      </c>
      <c r="N5" s="71">
        <v>2</v>
      </c>
      <c r="O5" s="71">
        <v>0</v>
      </c>
      <c r="P5" s="71">
        <v>0</v>
      </c>
      <c r="Q5" s="71">
        <f t="shared" si="1"/>
        <v>175.21200000000002</v>
      </c>
      <c r="R5" s="72" t="s">
        <v>73</v>
      </c>
      <c r="S5" s="71">
        <f t="shared" si="2"/>
        <v>157.197</v>
      </c>
      <c r="T5" s="71">
        <f t="shared" si="3"/>
        <v>10.406441400000002</v>
      </c>
      <c r="U5" s="68"/>
      <c r="V5" s="68">
        <f t="shared" si="4"/>
        <v>9.4942252615462366E-2</v>
      </c>
      <c r="W5" s="73">
        <f t="shared" ref="W5:W23" si="7">V5*$D$4</f>
        <v>5.5687282784069272E-2</v>
      </c>
      <c r="X5" s="69">
        <f t="shared" si="5"/>
        <v>0.35425156195136848</v>
      </c>
      <c r="Y5" s="71"/>
      <c r="Z5" s="68"/>
      <c r="AA5" s="68"/>
      <c r="AB5" s="68"/>
      <c r="AC5" s="68"/>
      <c r="AD5" s="68">
        <f t="shared" si="6"/>
        <v>6.2069124672623183E-2</v>
      </c>
      <c r="AE5" s="68"/>
      <c r="AF5" s="74"/>
    </row>
    <row r="6" spans="1:37" x14ac:dyDescent="0.25">
      <c r="B6" s="67"/>
      <c r="C6" s="68"/>
      <c r="D6" s="69"/>
      <c r="E6" s="69">
        <f>'Amino acids'!D8</f>
        <v>2.9700000000000001E-2</v>
      </c>
      <c r="F6" s="70">
        <f t="shared" si="0"/>
        <v>0.15893159199328769</v>
      </c>
      <c r="G6" s="71" t="s">
        <v>76</v>
      </c>
      <c r="H6" s="71" t="s">
        <v>70</v>
      </c>
      <c r="I6" s="71" t="s">
        <v>71</v>
      </c>
      <c r="J6" s="71" t="s">
        <v>77</v>
      </c>
      <c r="K6" s="71">
        <v>4</v>
      </c>
      <c r="L6" s="71">
        <v>8</v>
      </c>
      <c r="M6" s="71">
        <v>2</v>
      </c>
      <c r="N6" s="71">
        <v>3</v>
      </c>
      <c r="O6" s="71">
        <v>0</v>
      </c>
      <c r="P6" s="71">
        <v>0</v>
      </c>
      <c r="Q6" s="71">
        <f t="shared" si="1"/>
        <v>132.119</v>
      </c>
      <c r="R6" s="72" t="s">
        <v>73</v>
      </c>
      <c r="S6" s="71">
        <f t="shared" si="2"/>
        <v>114.104</v>
      </c>
      <c r="T6" s="71">
        <f t="shared" si="3"/>
        <v>3.3888888000000001</v>
      </c>
      <c r="U6" s="68"/>
      <c r="V6" s="68">
        <f t="shared" si="4"/>
        <v>3.0918228832318324E-2</v>
      </c>
      <c r="W6" s="73">
        <f t="shared" si="7"/>
        <v>1.8134730372802096E-2</v>
      </c>
      <c r="X6" s="69">
        <f t="shared" si="5"/>
        <v>0.15893159199328769</v>
      </c>
      <c r="Y6" s="71"/>
      <c r="Z6" s="68"/>
      <c r="AA6" s="68"/>
      <c r="AB6" s="68"/>
      <c r="AC6" s="68"/>
      <c r="AD6" s="68">
        <f t="shared" si="6"/>
        <v>2.0997883002561175E-2</v>
      </c>
      <c r="AE6" s="68"/>
      <c r="AF6" s="74"/>
    </row>
    <row r="7" spans="1:37" x14ac:dyDescent="0.25">
      <c r="B7" s="67"/>
      <c r="C7" s="68"/>
      <c r="D7" s="69"/>
      <c r="E7" s="69">
        <f>'Amino acids'!D9</f>
        <v>5.3199999999999997E-2</v>
      </c>
      <c r="F7" s="70">
        <f t="shared" si="0"/>
        <v>0.28468554525396983</v>
      </c>
      <c r="G7" s="71" t="s">
        <v>78</v>
      </c>
      <c r="H7" s="71" t="s">
        <v>70</v>
      </c>
      <c r="I7" s="71" t="s">
        <v>71</v>
      </c>
      <c r="J7" s="71" t="s">
        <v>79</v>
      </c>
      <c r="K7" s="71">
        <v>4</v>
      </c>
      <c r="L7" s="71">
        <v>6</v>
      </c>
      <c r="M7" s="71">
        <v>1</v>
      </c>
      <c r="N7" s="71">
        <v>4</v>
      </c>
      <c r="O7" s="71">
        <v>0</v>
      </c>
      <c r="P7" s="71">
        <v>0</v>
      </c>
      <c r="Q7" s="71">
        <f t="shared" si="1"/>
        <v>132.095</v>
      </c>
      <c r="R7" s="72" t="s">
        <v>73</v>
      </c>
      <c r="S7" s="71">
        <f t="shared" si="2"/>
        <v>114.08</v>
      </c>
      <c r="T7" s="71">
        <f t="shared" si="3"/>
        <v>6.0690559999999998</v>
      </c>
      <c r="U7" s="68"/>
      <c r="V7" s="68">
        <f t="shared" si="4"/>
        <v>5.5370498496189816E-2</v>
      </c>
      <c r="W7" s="73">
        <f t="shared" si="7"/>
        <v>3.2476927002572875E-2</v>
      </c>
      <c r="X7" s="69">
        <f t="shared" si="5"/>
        <v>0.28468554525396983</v>
      </c>
      <c r="Y7" s="71"/>
      <c r="Z7" s="68"/>
      <c r="AA7" s="68"/>
      <c r="AB7" s="68"/>
      <c r="AC7" s="68"/>
      <c r="AD7" s="68">
        <f t="shared" si="6"/>
        <v>3.7605537100323147E-2</v>
      </c>
      <c r="AE7" s="68"/>
      <c r="AF7" s="74"/>
    </row>
    <row r="8" spans="1:37" x14ac:dyDescent="0.25">
      <c r="B8" s="67"/>
      <c r="C8" s="68"/>
      <c r="D8" s="69"/>
      <c r="E8" s="69">
        <f>'Amino acids'!D10</f>
        <v>1.04E-2</v>
      </c>
      <c r="F8" s="70">
        <f t="shared" si="0"/>
        <v>5.5652813357918898E-2</v>
      </c>
      <c r="G8" s="71" t="s">
        <v>80</v>
      </c>
      <c r="H8" s="71" t="s">
        <v>70</v>
      </c>
      <c r="I8" s="71" t="s">
        <v>71</v>
      </c>
      <c r="J8" s="71" t="s">
        <v>81</v>
      </c>
      <c r="K8" s="71">
        <v>3</v>
      </c>
      <c r="L8" s="71">
        <v>7</v>
      </c>
      <c r="M8" s="71">
        <v>1</v>
      </c>
      <c r="N8" s="71">
        <v>2</v>
      </c>
      <c r="O8" s="71">
        <v>0</v>
      </c>
      <c r="P8" s="71">
        <v>1</v>
      </c>
      <c r="Q8" s="71">
        <f t="shared" si="1"/>
        <v>121.16000000000001</v>
      </c>
      <c r="R8" s="72" t="s">
        <v>73</v>
      </c>
      <c r="S8" s="71">
        <f t="shared" si="2"/>
        <v>103.14500000000001</v>
      </c>
      <c r="T8" s="71">
        <f t="shared" si="3"/>
        <v>1.072708</v>
      </c>
      <c r="U8" s="68"/>
      <c r="V8" s="68">
        <f t="shared" si="4"/>
        <v>9.7867570674666348E-3</v>
      </c>
      <c r="W8" s="73">
        <f t="shared" si="7"/>
        <v>5.7403094338025458E-3</v>
      </c>
      <c r="X8" s="69">
        <f t="shared" si="5"/>
        <v>5.5652813357918898E-2</v>
      </c>
      <c r="Y8" s="71"/>
      <c r="Z8" s="68"/>
      <c r="AA8" s="68"/>
      <c r="AB8" s="68"/>
      <c r="AC8" s="68"/>
      <c r="AD8" s="68">
        <f t="shared" si="6"/>
        <v>6.7428948664454546E-3</v>
      </c>
      <c r="AE8" s="68"/>
      <c r="AF8" s="74"/>
    </row>
    <row r="9" spans="1:37" x14ac:dyDescent="0.25">
      <c r="B9" s="67"/>
      <c r="C9" s="68"/>
      <c r="D9" s="69"/>
      <c r="E9" s="69">
        <f>'Amino acids'!D11</f>
        <v>4.7E-2</v>
      </c>
      <c r="F9" s="70">
        <f t="shared" si="0"/>
        <v>0.25150790652136429</v>
      </c>
      <c r="G9" s="71" t="s">
        <v>82</v>
      </c>
      <c r="H9" s="71" t="s">
        <v>70</v>
      </c>
      <c r="I9" s="71" t="s">
        <v>71</v>
      </c>
      <c r="J9" s="71" t="s">
        <v>83</v>
      </c>
      <c r="K9" s="71">
        <v>5</v>
      </c>
      <c r="L9" s="71">
        <v>10</v>
      </c>
      <c r="M9" s="71">
        <v>2</v>
      </c>
      <c r="N9" s="71">
        <v>3</v>
      </c>
      <c r="O9" s="71">
        <v>0</v>
      </c>
      <c r="P9" s="71">
        <v>0</v>
      </c>
      <c r="Q9" s="71">
        <f t="shared" si="1"/>
        <v>146.14599999999999</v>
      </c>
      <c r="R9" s="72" t="s">
        <v>73</v>
      </c>
      <c r="S9" s="71">
        <f t="shared" si="2"/>
        <v>128.13099999999997</v>
      </c>
      <c r="T9" s="71">
        <f t="shared" si="3"/>
        <v>6.0221569999999991</v>
      </c>
      <c r="U9" s="68"/>
      <c r="V9" s="68">
        <f t="shared" si="4"/>
        <v>5.4942619595587674E-2</v>
      </c>
      <c r="W9" s="73">
        <f t="shared" si="7"/>
        <v>3.2225959570488925E-2</v>
      </c>
      <c r="X9" s="69">
        <f t="shared" si="5"/>
        <v>0.25150790652136429</v>
      </c>
      <c r="Y9" s="71"/>
      <c r="Z9" s="68"/>
      <c r="AA9" s="68"/>
      <c r="AB9" s="68"/>
      <c r="AC9" s="68"/>
      <c r="AD9" s="68">
        <f t="shared" si="6"/>
        <v>3.6756874506471297E-2</v>
      </c>
      <c r="AE9" s="68"/>
      <c r="AF9" s="74"/>
      <c r="AI9"/>
    </row>
    <row r="10" spans="1:37" x14ac:dyDescent="0.25">
      <c r="B10" s="67"/>
      <c r="C10" s="68"/>
      <c r="D10" s="69"/>
      <c r="E10" s="69">
        <f>'Amino acids'!D12</f>
        <v>5.6400000000000006E-2</v>
      </c>
      <c r="F10" s="70">
        <f t="shared" si="0"/>
        <v>0.30180948782563716</v>
      </c>
      <c r="G10" s="71" t="s">
        <v>84</v>
      </c>
      <c r="H10" s="71" t="s">
        <v>70</v>
      </c>
      <c r="I10" s="71" t="s">
        <v>71</v>
      </c>
      <c r="J10" s="71" t="s">
        <v>85</v>
      </c>
      <c r="K10" s="71">
        <v>5</v>
      </c>
      <c r="L10" s="71">
        <v>8</v>
      </c>
      <c r="M10" s="71">
        <v>1</v>
      </c>
      <c r="N10" s="71">
        <v>4</v>
      </c>
      <c r="O10" s="71">
        <v>0</v>
      </c>
      <c r="P10" s="71">
        <v>0</v>
      </c>
      <c r="Q10" s="71">
        <f t="shared" si="1"/>
        <v>146.12200000000001</v>
      </c>
      <c r="R10" s="72" t="s">
        <v>73</v>
      </c>
      <c r="S10" s="71">
        <f t="shared" si="2"/>
        <v>128.10700000000003</v>
      </c>
      <c r="T10" s="71">
        <f t="shared" si="3"/>
        <v>7.2252348000000026</v>
      </c>
      <c r="U10" s="68"/>
      <c r="V10" s="68">
        <f t="shared" si="4"/>
        <v>6.5918794064186992E-2</v>
      </c>
      <c r="W10" s="73">
        <f t="shared" si="7"/>
        <v>3.8663908056878908E-2</v>
      </c>
      <c r="X10" s="69">
        <f t="shared" si="5"/>
        <v>0.30180948782563716</v>
      </c>
      <c r="Y10" s="71"/>
      <c r="Z10" s="68"/>
      <c r="AA10" s="68"/>
      <c r="AB10" s="68"/>
      <c r="AC10" s="68"/>
      <c r="AD10" s="68">
        <f t="shared" si="6"/>
        <v>4.4101005980057756E-2</v>
      </c>
      <c r="AE10" s="68"/>
      <c r="AF10" s="74"/>
    </row>
    <row r="11" spans="1:37" x14ac:dyDescent="0.25">
      <c r="B11" s="67"/>
      <c r="C11" s="68"/>
      <c r="D11" s="69"/>
      <c r="E11" s="69">
        <f>'Amino acids'!D13</f>
        <v>8.0599999999999991E-2</v>
      </c>
      <c r="F11" s="70">
        <f t="shared" si="0"/>
        <v>0.43130930352387148</v>
      </c>
      <c r="G11" s="71" t="s">
        <v>86</v>
      </c>
      <c r="H11" s="71" t="s">
        <v>70</v>
      </c>
      <c r="I11" s="71" t="s">
        <v>71</v>
      </c>
      <c r="J11" s="71" t="s">
        <v>87</v>
      </c>
      <c r="K11" s="71">
        <v>2</v>
      </c>
      <c r="L11" s="71">
        <v>5</v>
      </c>
      <c r="M11" s="71">
        <v>1</v>
      </c>
      <c r="N11" s="71">
        <v>2</v>
      </c>
      <c r="O11" s="71">
        <v>0</v>
      </c>
      <c r="P11" s="71">
        <v>0</v>
      </c>
      <c r="Q11" s="71">
        <f t="shared" si="1"/>
        <v>75.067000000000007</v>
      </c>
      <c r="R11" s="72" t="s">
        <v>73</v>
      </c>
      <c r="S11" s="71">
        <f t="shared" si="2"/>
        <v>57.052000000000007</v>
      </c>
      <c r="T11" s="71">
        <f t="shared" si="3"/>
        <v>4.5983912</v>
      </c>
      <c r="U11" s="68"/>
      <c r="V11" s="68">
        <f t="shared" si="4"/>
        <v>4.195301757381914E-2</v>
      </c>
      <c r="W11" s="73">
        <f t="shared" si="7"/>
        <v>2.4607058384643919E-2</v>
      </c>
      <c r="X11" s="69">
        <f t="shared" si="5"/>
        <v>0.43130930352387148</v>
      </c>
      <c r="Y11" s="71"/>
      <c r="Z11" s="68"/>
      <c r="AA11" s="68"/>
      <c r="AB11" s="68"/>
      <c r="AC11" s="68"/>
      <c r="AD11" s="68">
        <f t="shared" si="6"/>
        <v>3.2377095487626462E-2</v>
      </c>
      <c r="AE11" s="68"/>
      <c r="AF11" s="74"/>
      <c r="AH11" s="75" t="s">
        <v>88</v>
      </c>
      <c r="AI11" s="76"/>
      <c r="AJ11" s="76" t="s">
        <v>89</v>
      </c>
    </row>
    <row r="12" spans="1:37" x14ac:dyDescent="0.25">
      <c r="B12" s="67"/>
      <c r="C12" s="68"/>
      <c r="D12" s="69"/>
      <c r="E12" s="69">
        <f>'Amino acids'!D14</f>
        <v>2.3600000000000003E-2</v>
      </c>
      <c r="F12" s="70">
        <f t="shared" si="0"/>
        <v>0.12628907646604678</v>
      </c>
      <c r="G12" s="71" t="s">
        <v>90</v>
      </c>
      <c r="H12" s="71" t="s">
        <v>70</v>
      </c>
      <c r="I12" s="71" t="s">
        <v>71</v>
      </c>
      <c r="J12" s="71" t="s">
        <v>91</v>
      </c>
      <c r="K12" s="71">
        <v>6</v>
      </c>
      <c r="L12" s="71">
        <v>9</v>
      </c>
      <c r="M12" s="71">
        <v>3</v>
      </c>
      <c r="N12" s="71">
        <v>2</v>
      </c>
      <c r="O12" s="71">
        <v>0</v>
      </c>
      <c r="P12" s="71">
        <v>0</v>
      </c>
      <c r="Q12" s="71">
        <f t="shared" si="1"/>
        <v>155.15700000000001</v>
      </c>
      <c r="R12" s="72" t="s">
        <v>73</v>
      </c>
      <c r="S12" s="71">
        <f t="shared" si="2"/>
        <v>137.142</v>
      </c>
      <c r="T12" s="71">
        <f t="shared" si="3"/>
        <v>3.2365512000000005</v>
      </c>
      <c r="U12" s="68"/>
      <c r="V12" s="68">
        <f t="shared" si="4"/>
        <v>2.9528390140483359E-2</v>
      </c>
      <c r="W12" s="73">
        <f t="shared" si="7"/>
        <v>1.7319536524706587E-2</v>
      </c>
      <c r="X12" s="69">
        <f t="shared" si="5"/>
        <v>0.12628907646604678</v>
      </c>
      <c r="Y12" s="71"/>
      <c r="Z12" s="68"/>
      <c r="AA12" s="68"/>
      <c r="AB12" s="68"/>
      <c r="AC12" s="68"/>
      <c r="AD12" s="68">
        <f t="shared" si="6"/>
        <v>1.9594634237242423E-2</v>
      </c>
      <c r="AE12" s="68"/>
      <c r="AF12" s="74"/>
      <c r="AH12" s="76" t="s">
        <v>92</v>
      </c>
      <c r="AI12" s="77">
        <f>SUM(AD4:AD107)</f>
        <v>25.571340782754117</v>
      </c>
      <c r="AJ12" s="77" t="e">
        <f>SUM(AF:AF)</f>
        <v>#REF!</v>
      </c>
      <c r="AK12" s="78"/>
    </row>
    <row r="13" spans="1:37" x14ac:dyDescent="0.25">
      <c r="B13" s="67"/>
      <c r="C13" s="68"/>
      <c r="D13" s="69"/>
      <c r="E13" s="69">
        <f>'Amino acids'!D15</f>
        <v>4.5700000000000005E-2</v>
      </c>
      <c r="F13" s="70">
        <f t="shared" si="0"/>
        <v>0.24455130485162443</v>
      </c>
      <c r="G13" s="71" t="s">
        <v>93</v>
      </c>
      <c r="H13" s="71" t="s">
        <v>70</v>
      </c>
      <c r="I13" s="71" t="s">
        <v>71</v>
      </c>
      <c r="J13" s="71" t="s">
        <v>94</v>
      </c>
      <c r="K13" s="71">
        <v>6</v>
      </c>
      <c r="L13" s="71">
        <v>13</v>
      </c>
      <c r="M13" s="71">
        <v>1</v>
      </c>
      <c r="N13" s="71">
        <v>2</v>
      </c>
      <c r="O13" s="71">
        <v>0</v>
      </c>
      <c r="P13" s="71">
        <v>0</v>
      </c>
      <c r="Q13" s="71">
        <f t="shared" si="1"/>
        <v>131.17500000000001</v>
      </c>
      <c r="R13" s="72" t="s">
        <v>73</v>
      </c>
      <c r="S13" s="71">
        <f t="shared" si="2"/>
        <v>113.16000000000001</v>
      </c>
      <c r="T13" s="71">
        <f t="shared" si="3"/>
        <v>5.171412000000001</v>
      </c>
      <c r="U13" s="68"/>
      <c r="V13" s="68">
        <f t="shared" si="4"/>
        <v>4.7180922431623307E-2</v>
      </c>
      <c r="W13" s="73">
        <f t="shared" si="7"/>
        <v>2.7673425657009827E-2</v>
      </c>
      <c r="X13" s="69">
        <f t="shared" si="5"/>
        <v>0.24455130485162443</v>
      </c>
      <c r="Y13" s="71"/>
      <c r="Z13" s="68"/>
      <c r="AA13" s="68"/>
      <c r="AB13" s="79"/>
      <c r="AC13" s="68"/>
      <c r="AD13" s="68">
        <f t="shared" si="6"/>
        <v>3.2079017413911837E-2</v>
      </c>
      <c r="AE13" s="68"/>
      <c r="AF13" s="74"/>
      <c r="AH13" s="76" t="s">
        <v>95</v>
      </c>
      <c r="AI13" s="77">
        <f>SUM(AD112:AD117)</f>
        <v>24.590230825759591</v>
      </c>
      <c r="AJ13" s="77"/>
      <c r="AK13" s="78"/>
    </row>
    <row r="14" spans="1:37" x14ac:dyDescent="0.25">
      <c r="B14" s="67"/>
      <c r="C14" s="68"/>
      <c r="D14" s="69"/>
      <c r="E14" s="69">
        <f>'Amino acids'!D16</f>
        <v>0.11749999999999998</v>
      </c>
      <c r="F14" s="70">
        <f t="shared" si="0"/>
        <v>0.62876976630341064</v>
      </c>
      <c r="G14" s="71" t="s">
        <v>96</v>
      </c>
      <c r="H14" s="71" t="s">
        <v>70</v>
      </c>
      <c r="I14" s="71" t="s">
        <v>71</v>
      </c>
      <c r="J14" s="71" t="s">
        <v>94</v>
      </c>
      <c r="K14" s="71">
        <v>6</v>
      </c>
      <c r="L14" s="71">
        <v>13</v>
      </c>
      <c r="M14" s="71">
        <v>1</v>
      </c>
      <c r="N14" s="71">
        <v>2</v>
      </c>
      <c r="O14" s="71">
        <v>0</v>
      </c>
      <c r="P14" s="71">
        <v>0</v>
      </c>
      <c r="Q14" s="71">
        <f t="shared" si="1"/>
        <v>131.17500000000001</v>
      </c>
      <c r="R14" s="72" t="s">
        <v>73</v>
      </c>
      <c r="S14" s="71">
        <f t="shared" si="2"/>
        <v>113.16000000000001</v>
      </c>
      <c r="T14" s="71">
        <f t="shared" si="3"/>
        <v>13.296299999999999</v>
      </c>
      <c r="U14" s="68"/>
      <c r="V14" s="68">
        <f t="shared" si="4"/>
        <v>0.12130762331981919</v>
      </c>
      <c r="W14" s="73">
        <f t="shared" si="7"/>
        <v>7.1151586754893956E-2</v>
      </c>
      <c r="X14" s="69">
        <f t="shared" si="5"/>
        <v>0.62876976630341064</v>
      </c>
      <c r="Y14" s="71"/>
      <c r="Z14" s="68"/>
      <c r="AA14" s="68"/>
      <c r="AB14" s="79"/>
      <c r="AC14" s="68"/>
      <c r="AD14" s="68">
        <f t="shared" si="6"/>
        <v>8.2478874094849899E-2</v>
      </c>
      <c r="AE14" s="68"/>
      <c r="AF14" s="74"/>
      <c r="AH14" s="76" t="s">
        <v>89</v>
      </c>
      <c r="AI14" s="77">
        <f>AI12-AI13</f>
        <v>0.9811099569945263</v>
      </c>
      <c r="AJ14" s="77"/>
      <c r="AK14" s="80"/>
    </row>
    <row r="15" spans="1:37" x14ac:dyDescent="0.25">
      <c r="B15" s="67"/>
      <c r="C15" s="68"/>
      <c r="D15" s="69"/>
      <c r="E15" s="69">
        <f>'Amino acids'!D17</f>
        <v>3.3700000000000001E-2</v>
      </c>
      <c r="F15" s="70">
        <f t="shared" si="0"/>
        <v>0.18033652020787183</v>
      </c>
      <c r="G15" s="71" t="s">
        <v>97</v>
      </c>
      <c r="H15" s="71" t="s">
        <v>70</v>
      </c>
      <c r="I15" s="71" t="s">
        <v>71</v>
      </c>
      <c r="J15" s="71" t="s">
        <v>98</v>
      </c>
      <c r="K15" s="71">
        <v>6</v>
      </c>
      <c r="L15" s="71">
        <v>15</v>
      </c>
      <c r="M15" s="71">
        <v>2</v>
      </c>
      <c r="N15" s="71">
        <v>2</v>
      </c>
      <c r="O15" s="71">
        <v>0</v>
      </c>
      <c r="P15" s="71">
        <v>0</v>
      </c>
      <c r="Q15" s="71">
        <f t="shared" si="1"/>
        <v>147.19800000000001</v>
      </c>
      <c r="R15" s="72" t="s">
        <v>73</v>
      </c>
      <c r="S15" s="71">
        <f t="shared" si="2"/>
        <v>129.18299999999999</v>
      </c>
      <c r="T15" s="71">
        <f t="shared" si="3"/>
        <v>4.3534670999999996</v>
      </c>
      <c r="U15" s="68"/>
      <c r="V15" s="68">
        <f t="shared" si="4"/>
        <v>3.9718474094449258E-2</v>
      </c>
      <c r="W15" s="73">
        <f t="shared" si="7"/>
        <v>2.3296412690013507E-2</v>
      </c>
      <c r="X15" s="69">
        <f t="shared" si="5"/>
        <v>0.18033652020787183</v>
      </c>
      <c r="Y15" s="71"/>
      <c r="Z15" s="68"/>
      <c r="AA15" s="68"/>
      <c r="AB15" s="79"/>
      <c r="AC15" s="68"/>
      <c r="AD15" s="68">
        <f t="shared" si="6"/>
        <v>2.6545175101558318E-2</v>
      </c>
      <c r="AE15" s="68"/>
      <c r="AF15" s="74"/>
      <c r="AH15" s="76"/>
      <c r="AI15" s="77"/>
      <c r="AJ15" s="77"/>
      <c r="AK15" s="78"/>
    </row>
    <row r="16" spans="1:37" x14ac:dyDescent="0.25">
      <c r="B16" s="67"/>
      <c r="C16" s="68"/>
      <c r="D16" s="69"/>
      <c r="E16" s="69">
        <f>'Amino acids'!D18</f>
        <v>2.2800000000000001E-2</v>
      </c>
      <c r="F16" s="70">
        <f t="shared" si="0"/>
        <v>0.1220080908231299</v>
      </c>
      <c r="G16" s="71" t="s">
        <v>99</v>
      </c>
      <c r="H16" s="71" t="s">
        <v>70</v>
      </c>
      <c r="I16" s="71" t="s">
        <v>71</v>
      </c>
      <c r="J16" s="71" t="s">
        <v>100</v>
      </c>
      <c r="K16" s="71">
        <v>5</v>
      </c>
      <c r="L16" s="71">
        <v>11</v>
      </c>
      <c r="M16" s="71">
        <v>1</v>
      </c>
      <c r="N16" s="71">
        <v>2</v>
      </c>
      <c r="O16" s="71">
        <v>0</v>
      </c>
      <c r="P16" s="71">
        <v>1</v>
      </c>
      <c r="Q16" s="71">
        <f t="shared" si="1"/>
        <v>149.214</v>
      </c>
      <c r="R16" s="72" t="s">
        <v>73</v>
      </c>
      <c r="S16" s="71">
        <f t="shared" si="2"/>
        <v>131.19900000000001</v>
      </c>
      <c r="T16" s="71">
        <f t="shared" si="3"/>
        <v>2.9913372000000003</v>
      </c>
      <c r="U16" s="68"/>
      <c r="V16" s="68">
        <f t="shared" si="4"/>
        <v>2.7291201783967173E-2</v>
      </c>
      <c r="W16" s="73">
        <f t="shared" si="7"/>
        <v>1.6007339507903822E-2</v>
      </c>
      <c r="X16" s="69">
        <f t="shared" si="5"/>
        <v>0.1220080908231299</v>
      </c>
      <c r="Y16" s="71"/>
      <c r="Z16" s="68"/>
      <c r="AA16" s="68"/>
      <c r="AB16" s="79"/>
      <c r="AC16" s="68"/>
      <c r="AD16" s="68">
        <f t="shared" si="6"/>
        <v>1.8205315264082506E-2</v>
      </c>
      <c r="AE16" s="68"/>
      <c r="AF16" s="74"/>
      <c r="AH16" s="81" t="s">
        <v>101</v>
      </c>
      <c r="AI16" s="76"/>
      <c r="AJ16" s="77"/>
    </row>
    <row r="17" spans="2:36" x14ac:dyDescent="0.25">
      <c r="B17" s="67"/>
      <c r="C17" s="68"/>
      <c r="D17" s="69"/>
      <c r="E17" s="69">
        <f>'Amino acids'!D19</f>
        <v>3.5700000000000003E-2</v>
      </c>
      <c r="F17" s="70">
        <f t="shared" si="0"/>
        <v>0.19103898431516397</v>
      </c>
      <c r="G17" s="71" t="s">
        <v>102</v>
      </c>
      <c r="H17" s="71" t="s">
        <v>70</v>
      </c>
      <c r="I17" s="71" t="s">
        <v>71</v>
      </c>
      <c r="J17" s="71" t="s">
        <v>103</v>
      </c>
      <c r="K17" s="71">
        <v>9</v>
      </c>
      <c r="L17" s="71">
        <v>11</v>
      </c>
      <c r="M17" s="71">
        <v>1</v>
      </c>
      <c r="N17" s="71">
        <v>2</v>
      </c>
      <c r="O17" s="71">
        <v>0</v>
      </c>
      <c r="P17" s="71">
        <v>0</v>
      </c>
      <c r="Q17" s="71">
        <f t="shared" si="1"/>
        <v>165.19199999999998</v>
      </c>
      <c r="R17" s="72" t="s">
        <v>73</v>
      </c>
      <c r="S17" s="71">
        <f t="shared" si="2"/>
        <v>147.17699999999996</v>
      </c>
      <c r="T17" s="71">
        <f t="shared" si="3"/>
        <v>5.2542188999999988</v>
      </c>
      <c r="U17" s="68"/>
      <c r="V17" s="68">
        <f t="shared" si="4"/>
        <v>4.7936403898909824E-2</v>
      </c>
      <c r="W17" s="73">
        <f t="shared" si="7"/>
        <v>2.8116544594552879E-2</v>
      </c>
      <c r="X17" s="69">
        <f t="shared" si="5"/>
        <v>0.19103898431516397</v>
      </c>
      <c r="Y17" s="71"/>
      <c r="Z17" s="68"/>
      <c r="AA17" s="68"/>
      <c r="AB17" s="79"/>
      <c r="AC17" s="68"/>
      <c r="AD17" s="68">
        <f t="shared" si="6"/>
        <v>3.1558111896990565E-2</v>
      </c>
      <c r="AE17" s="68"/>
      <c r="AF17" s="74"/>
      <c r="AH17" s="81" t="s">
        <v>92</v>
      </c>
      <c r="AI17" s="76">
        <f>SUM(AD106:AD107)</f>
        <v>24.364567982999997</v>
      </c>
      <c r="AJ17" s="77"/>
    </row>
    <row r="18" spans="2:36" x14ac:dyDescent="0.25">
      <c r="B18" s="67"/>
      <c r="C18" s="68"/>
      <c r="D18" s="69"/>
      <c r="E18" s="69">
        <f>'Amino acids'!D20</f>
        <v>4.9199999999999994E-2</v>
      </c>
      <c r="F18" s="70">
        <f t="shared" si="0"/>
        <v>0.26328061703938554</v>
      </c>
      <c r="G18" s="71" t="s">
        <v>104</v>
      </c>
      <c r="H18" s="71" t="s">
        <v>70</v>
      </c>
      <c r="I18" s="71" t="s">
        <v>71</v>
      </c>
      <c r="J18" s="71" t="s">
        <v>105</v>
      </c>
      <c r="K18" s="71">
        <v>5</v>
      </c>
      <c r="L18" s="71">
        <v>9</v>
      </c>
      <c r="M18" s="71">
        <v>1</v>
      </c>
      <c r="N18" s="71">
        <v>2</v>
      </c>
      <c r="O18" s="71">
        <v>0</v>
      </c>
      <c r="P18" s="71">
        <v>0</v>
      </c>
      <c r="Q18" s="71">
        <f t="shared" si="1"/>
        <v>115.13200000000001</v>
      </c>
      <c r="R18" s="72" t="s">
        <v>73</v>
      </c>
      <c r="S18" s="71">
        <f t="shared" si="2"/>
        <v>97.117000000000004</v>
      </c>
      <c r="T18" s="71">
        <f t="shared" si="3"/>
        <v>4.7781563999999994</v>
      </c>
      <c r="U18" s="68"/>
      <c r="V18" s="68">
        <f t="shared" si="4"/>
        <v>4.3593089561335355E-2</v>
      </c>
      <c r="W18" s="73">
        <f t="shared" si="7"/>
        <v>2.5569023685014007E-2</v>
      </c>
      <c r="X18" s="69">
        <f t="shared" si="5"/>
        <v>0.26328061703938554</v>
      </c>
      <c r="Y18" s="71"/>
      <c r="Z18" s="68"/>
      <c r="AA18" s="69"/>
      <c r="AB18" s="79"/>
      <c r="AC18" s="68"/>
      <c r="AD18" s="68">
        <f t="shared" si="6"/>
        <v>3.031202400097854E-2</v>
      </c>
      <c r="AE18" s="68"/>
      <c r="AF18" s="74"/>
      <c r="AH18" s="81" t="s">
        <v>95</v>
      </c>
      <c r="AI18" s="76">
        <f>SUM(AD112:AD114)</f>
        <v>24.364567982999997</v>
      </c>
      <c r="AJ18" s="77"/>
    </row>
    <row r="19" spans="2:36" x14ac:dyDescent="0.25">
      <c r="B19" s="67"/>
      <c r="C19" s="68"/>
      <c r="D19" s="69"/>
      <c r="E19" s="69">
        <f>'Amino acids'!D21</f>
        <v>5.6299999999999996E-2</v>
      </c>
      <c r="F19" s="70">
        <f t="shared" si="0"/>
        <v>0.30127436462027252</v>
      </c>
      <c r="G19" s="71" t="s">
        <v>106</v>
      </c>
      <c r="H19" s="71" t="s">
        <v>70</v>
      </c>
      <c r="I19" s="71" t="s">
        <v>71</v>
      </c>
      <c r="J19" s="71" t="s">
        <v>107</v>
      </c>
      <c r="K19" s="71">
        <v>3</v>
      </c>
      <c r="L19" s="71">
        <v>7</v>
      </c>
      <c r="M19" s="71">
        <v>1</v>
      </c>
      <c r="N19" s="71">
        <v>3</v>
      </c>
      <c r="O19" s="71">
        <v>0</v>
      </c>
      <c r="P19" s="71">
        <v>0</v>
      </c>
      <c r="Q19" s="71">
        <f t="shared" si="1"/>
        <v>105.093</v>
      </c>
      <c r="R19" s="72" t="s">
        <v>73</v>
      </c>
      <c r="S19" s="71">
        <f t="shared" si="2"/>
        <v>87.078000000000003</v>
      </c>
      <c r="T19" s="71">
        <f t="shared" si="3"/>
        <v>4.9024913999999997</v>
      </c>
      <c r="U19" s="68"/>
      <c r="V19" s="68">
        <f t="shared" si="4"/>
        <v>4.4727448995574189E-2</v>
      </c>
      <c r="W19" s="73">
        <f t="shared" si="7"/>
        <v>2.6234369122404094E-2</v>
      </c>
      <c r="X19" s="69">
        <f t="shared" si="5"/>
        <v>0.30127436462027252</v>
      </c>
      <c r="Y19" s="71"/>
      <c r="Z19" s="68"/>
      <c r="AA19" s="68"/>
      <c r="AB19" s="79"/>
      <c r="AC19" s="68"/>
      <c r="AD19" s="68">
        <f t="shared" si="6"/>
        <v>3.1661826801038302E-2</v>
      </c>
      <c r="AE19" s="68"/>
      <c r="AF19" s="74"/>
      <c r="AH19" s="81" t="s">
        <v>89</v>
      </c>
      <c r="AI19" s="76">
        <f>AI17-AI18</f>
        <v>0</v>
      </c>
      <c r="AJ19" s="77"/>
    </row>
    <row r="20" spans="2:36" x14ac:dyDescent="0.25">
      <c r="B20" s="67"/>
      <c r="C20" s="68"/>
      <c r="D20" s="69"/>
      <c r="E20" s="69">
        <f>'Amino acids'!D22</f>
        <v>4.7899999999999998E-2</v>
      </c>
      <c r="F20" s="70">
        <f t="shared" si="0"/>
        <v>0.25632401536964577</v>
      </c>
      <c r="G20" s="71" t="s">
        <v>108</v>
      </c>
      <c r="H20" s="71" t="s">
        <v>70</v>
      </c>
      <c r="I20" s="71" t="s">
        <v>71</v>
      </c>
      <c r="J20" s="71" t="s">
        <v>109</v>
      </c>
      <c r="K20" s="71">
        <v>4</v>
      </c>
      <c r="L20" s="71">
        <v>9</v>
      </c>
      <c r="M20" s="71">
        <v>1</v>
      </c>
      <c r="N20" s="71">
        <v>3</v>
      </c>
      <c r="O20" s="71">
        <v>0</v>
      </c>
      <c r="P20" s="71">
        <v>0</v>
      </c>
      <c r="Q20" s="71">
        <f t="shared" si="1"/>
        <v>119.12</v>
      </c>
      <c r="R20" s="72" t="s">
        <v>73</v>
      </c>
      <c r="S20" s="71">
        <f t="shared" si="2"/>
        <v>101.105</v>
      </c>
      <c r="T20" s="71">
        <f t="shared" si="3"/>
        <v>4.8429295000000003</v>
      </c>
      <c r="U20" s="68"/>
      <c r="V20" s="68">
        <f t="shared" si="4"/>
        <v>4.4184041240829433E-2</v>
      </c>
      <c r="W20" s="73">
        <f t="shared" si="7"/>
        <v>2.5915639573948036E-2</v>
      </c>
      <c r="X20" s="69">
        <f t="shared" si="5"/>
        <v>0.25632401536964577</v>
      </c>
      <c r="Y20" s="71"/>
      <c r="Z20" s="68"/>
      <c r="AA20" s="68"/>
      <c r="AB20" s="79"/>
      <c r="AC20" s="68"/>
      <c r="AD20" s="68">
        <f t="shared" si="6"/>
        <v>3.0533316710832207E-2</v>
      </c>
      <c r="AE20" s="68"/>
      <c r="AF20" s="74"/>
    </row>
    <row r="21" spans="2:36" x14ac:dyDescent="0.25">
      <c r="B21" s="67"/>
      <c r="C21" s="68"/>
      <c r="D21" s="69"/>
      <c r="E21" s="69">
        <f>'Amino acids'!D23</f>
        <v>1.4500000000000001E-2</v>
      </c>
      <c r="F21" s="70">
        <f t="shared" si="0"/>
        <v>7.7592864777867712E-2</v>
      </c>
      <c r="G21" s="71" t="s">
        <v>110</v>
      </c>
      <c r="H21" s="71" t="s">
        <v>70</v>
      </c>
      <c r="I21" s="71" t="s">
        <v>71</v>
      </c>
      <c r="J21" s="71" t="s">
        <v>111</v>
      </c>
      <c r="K21" s="71">
        <v>11</v>
      </c>
      <c r="L21" s="71">
        <v>12</v>
      </c>
      <c r="M21" s="71">
        <v>2</v>
      </c>
      <c r="N21" s="71">
        <v>2</v>
      </c>
      <c r="O21" s="71">
        <v>0</v>
      </c>
      <c r="P21" s="71">
        <v>0</v>
      </c>
      <c r="Q21" s="71">
        <f t="shared" si="1"/>
        <v>204.22899999999998</v>
      </c>
      <c r="R21" s="72" t="s">
        <v>73</v>
      </c>
      <c r="S21" s="71">
        <f t="shared" si="2"/>
        <v>186.214</v>
      </c>
      <c r="T21" s="71">
        <f t="shared" si="3"/>
        <v>2.7001029999999999</v>
      </c>
      <c r="U21" s="68"/>
      <c r="V21" s="68">
        <f t="shared" si="4"/>
        <v>2.4634152181337198E-2</v>
      </c>
      <c r="W21" s="73">
        <f t="shared" si="7"/>
        <v>1.4448877721745856E-2</v>
      </c>
      <c r="X21" s="69">
        <f t="shared" si="5"/>
        <v>7.7592864777867712E-2</v>
      </c>
      <c r="Y21" s="71"/>
      <c r="Z21" s="68"/>
      <c r="AA21" s="68"/>
      <c r="AB21" s="79"/>
      <c r="AC21" s="68"/>
      <c r="AD21" s="68">
        <f t="shared" si="6"/>
        <v>1.5846713180719143E-2</v>
      </c>
      <c r="AE21" s="68"/>
      <c r="AF21" s="74"/>
    </row>
    <row r="22" spans="2:36" x14ac:dyDescent="0.25">
      <c r="B22" s="67"/>
      <c r="C22" s="68"/>
      <c r="D22" s="69"/>
      <c r="E22" s="69">
        <f>'Amino acids'!D24</f>
        <v>2.5399999999999999E-2</v>
      </c>
      <c r="F22" s="70">
        <f t="shared" si="0"/>
        <v>0.13592129416260965</v>
      </c>
      <c r="G22" s="71" t="s">
        <v>112</v>
      </c>
      <c r="H22" s="71" t="s">
        <v>70</v>
      </c>
      <c r="I22" s="71" t="s">
        <v>71</v>
      </c>
      <c r="J22" s="71" t="s">
        <v>113</v>
      </c>
      <c r="K22" s="71">
        <v>9</v>
      </c>
      <c r="L22" s="71">
        <v>11</v>
      </c>
      <c r="M22" s="71">
        <v>1</v>
      </c>
      <c r="N22" s="71">
        <v>3</v>
      </c>
      <c r="O22" s="71">
        <v>0</v>
      </c>
      <c r="P22" s="71">
        <v>0</v>
      </c>
      <c r="Q22" s="71">
        <f t="shared" si="1"/>
        <v>181.19099999999997</v>
      </c>
      <c r="R22" s="72" t="s">
        <v>73</v>
      </c>
      <c r="S22" s="71">
        <f t="shared" si="2"/>
        <v>163.17599999999999</v>
      </c>
      <c r="T22" s="71">
        <f t="shared" si="3"/>
        <v>4.1446703999999999</v>
      </c>
      <c r="U22" s="68"/>
      <c r="V22" s="68">
        <f t="shared" si="4"/>
        <v>3.7813535770703455E-2</v>
      </c>
      <c r="W22" s="73">
        <f t="shared" si="7"/>
        <v>2.2179093096277989E-2</v>
      </c>
      <c r="X22" s="69">
        <f t="shared" si="5"/>
        <v>0.13592129416260965</v>
      </c>
      <c r="Y22" s="71"/>
      <c r="Z22" s="68"/>
      <c r="AA22" s="68"/>
      <c r="AB22" s="82"/>
      <c r="AC22" s="68"/>
      <c r="AD22" s="68">
        <f t="shared" si="6"/>
        <v>2.46277152106174E-2</v>
      </c>
      <c r="AE22" s="68"/>
      <c r="AF22" s="74"/>
      <c r="AH22" s="83"/>
    </row>
    <row r="23" spans="2:36" ht="15.75" thickBot="1" x14ac:dyDescent="0.3">
      <c r="B23" s="67"/>
      <c r="C23" s="68"/>
      <c r="D23" s="69"/>
      <c r="E23" s="69">
        <f>'Amino acids'!D25</f>
        <v>7.2700000000000001E-2</v>
      </c>
      <c r="F23" s="70">
        <f t="shared" si="0"/>
        <v>0.38903457030006783</v>
      </c>
      <c r="G23" s="71" t="s">
        <v>114</v>
      </c>
      <c r="H23" s="71" t="s">
        <v>70</v>
      </c>
      <c r="I23" s="71" t="s">
        <v>71</v>
      </c>
      <c r="J23" s="71" t="s">
        <v>115</v>
      </c>
      <c r="K23" s="71">
        <v>5</v>
      </c>
      <c r="L23" s="71">
        <v>11</v>
      </c>
      <c r="M23" s="71">
        <v>1</v>
      </c>
      <c r="N23" s="71">
        <v>2</v>
      </c>
      <c r="O23" s="71">
        <v>0</v>
      </c>
      <c r="P23" s="71">
        <v>0</v>
      </c>
      <c r="Q23" s="71">
        <f t="shared" si="1"/>
        <v>117.14800000000001</v>
      </c>
      <c r="R23" s="72" t="s">
        <v>73</v>
      </c>
      <c r="S23" s="71">
        <f t="shared" si="2"/>
        <v>99.13300000000001</v>
      </c>
      <c r="T23" s="71">
        <f t="shared" si="3"/>
        <v>7.2069691000000011</v>
      </c>
      <c r="U23" s="68"/>
      <c r="V23" s="68">
        <f t="shared" si="4"/>
        <v>6.5752148557145715E-2</v>
      </c>
      <c r="W23" s="73">
        <f t="shared" si="7"/>
        <v>3.8566164057556626E-2</v>
      </c>
      <c r="X23" s="69">
        <f t="shared" si="5"/>
        <v>0.38903457030006783</v>
      </c>
      <c r="Y23" s="71"/>
      <c r="Z23" s="84">
        <f>SUM(X4:X23)</f>
        <v>5.3528374232621445</v>
      </c>
      <c r="AA23" s="71" t="s">
        <v>68</v>
      </c>
      <c r="AB23" s="85">
        <f>SUM(W4:W23)</f>
        <v>0.58653846153846156</v>
      </c>
      <c r="AC23" s="68"/>
      <c r="AD23" s="68">
        <f t="shared" si="6"/>
        <v>4.5574621841512349E-2</v>
      </c>
      <c r="AE23" s="68">
        <f>SUM(AD4:AD23)</f>
        <v>0.6829698277185291</v>
      </c>
      <c r="AF23" s="86">
        <f>AE23-AD117</f>
        <v>0.58653846153846156</v>
      </c>
    </row>
    <row r="24" spans="2:36" ht="15.75" thickBot="1" x14ac:dyDescent="0.3">
      <c r="B24" s="87"/>
      <c r="C24" s="309" t="s">
        <v>116</v>
      </c>
      <c r="D24" s="341">
        <f>'Macromolecular Composition'!D5</f>
        <v>1.7307692307692305E-2</v>
      </c>
      <c r="E24" s="89">
        <f>DNA!F6</f>
        <v>0.19193307907341201</v>
      </c>
      <c r="F24" s="90">
        <f t="shared" si="0"/>
        <v>1.0804607332874189E-2</v>
      </c>
      <c r="G24" s="88" t="s">
        <v>117</v>
      </c>
      <c r="H24" s="88" t="s">
        <v>70</v>
      </c>
      <c r="I24" s="88" t="s">
        <v>116</v>
      </c>
      <c r="J24" s="88" t="s">
        <v>118</v>
      </c>
      <c r="K24" s="88">
        <v>10</v>
      </c>
      <c r="L24" s="88">
        <v>12</v>
      </c>
      <c r="M24" s="88">
        <v>5</v>
      </c>
      <c r="N24" s="88">
        <v>12</v>
      </c>
      <c r="O24" s="88">
        <v>3</v>
      </c>
      <c r="P24" s="91">
        <v>0</v>
      </c>
      <c r="Q24" s="91">
        <f t="shared" si="1"/>
        <v>487.15099999999995</v>
      </c>
      <c r="R24" s="92" t="s">
        <v>119</v>
      </c>
      <c r="S24" s="93">
        <f>Q24-$Q$115</f>
        <v>312.20199999999994</v>
      </c>
      <c r="T24" s="93">
        <f t="shared" si="3"/>
        <v>59.921891152877365</v>
      </c>
      <c r="U24" s="88">
        <f>SUM(T24:T27)</f>
        <v>307.45390127814221</v>
      </c>
      <c r="V24" s="88">
        <f>T24/$U$24</f>
        <v>0.19489715662663926</v>
      </c>
      <c r="W24" s="94">
        <f>V24*$D$24</f>
        <v>3.3732200185379868E-3</v>
      </c>
      <c r="X24" s="95">
        <f t="shared" si="5"/>
        <v>1.0804607332874189E-2</v>
      </c>
      <c r="Y24" s="93"/>
      <c r="Z24" s="88"/>
      <c r="AA24" s="88"/>
      <c r="AB24" s="96"/>
      <c r="AC24" s="88"/>
      <c r="AD24" s="88">
        <f t="shared" si="6"/>
        <v>5.2634752668169939E-3</v>
      </c>
      <c r="AE24" s="88"/>
      <c r="AF24" s="97"/>
    </row>
    <row r="25" spans="2:36" x14ac:dyDescent="0.25">
      <c r="B25" s="87"/>
      <c r="C25" s="93" t="s">
        <v>120</v>
      </c>
      <c r="D25" s="89"/>
      <c r="E25" s="89">
        <f>DNA!F7</f>
        <v>0.30572563643031236</v>
      </c>
      <c r="F25" s="90">
        <f t="shared" si="0"/>
        <v>1.7210402027464634E-2</v>
      </c>
      <c r="G25" s="88" t="s">
        <v>121</v>
      </c>
      <c r="H25" s="88" t="s">
        <v>70</v>
      </c>
      <c r="I25" s="88" t="s">
        <v>116</v>
      </c>
      <c r="J25" s="88" t="s">
        <v>122</v>
      </c>
      <c r="K25" s="88">
        <v>9</v>
      </c>
      <c r="L25" s="88">
        <v>10</v>
      </c>
      <c r="M25" s="88">
        <v>3</v>
      </c>
      <c r="N25" s="88">
        <v>13</v>
      </c>
      <c r="O25" s="88">
        <v>3</v>
      </c>
      <c r="P25" s="91">
        <v>0</v>
      </c>
      <c r="Q25" s="91">
        <f t="shared" si="1"/>
        <v>461.10900000000004</v>
      </c>
      <c r="R25" s="92" t="s">
        <v>119</v>
      </c>
      <c r="S25" s="93">
        <f>Q25-$Q$115</f>
        <v>286.16000000000003</v>
      </c>
      <c r="T25" s="93">
        <f t="shared" si="3"/>
        <v>87.486448120898189</v>
      </c>
      <c r="U25" s="91"/>
      <c r="V25" s="88">
        <f>T25/$U$24</f>
        <v>0.28455143277480294</v>
      </c>
      <c r="W25" s="94">
        <f>V25*$D$24</f>
        <v>4.9249286441792805E-3</v>
      </c>
      <c r="X25" s="95">
        <f t="shared" si="5"/>
        <v>1.7210402027464634E-2</v>
      </c>
      <c r="Y25" s="93"/>
      <c r="Z25" s="88"/>
      <c r="AA25" s="88"/>
      <c r="AB25" s="96"/>
      <c r="AC25" s="88"/>
      <c r="AD25" s="88">
        <f t="shared" si="6"/>
        <v>7.9358712684821902E-3</v>
      </c>
      <c r="AE25" s="88"/>
      <c r="AF25" s="97"/>
    </row>
    <row r="26" spans="2:36" x14ac:dyDescent="0.25">
      <c r="B26" s="87"/>
      <c r="C26" s="93" t="s">
        <v>120</v>
      </c>
      <c r="D26" s="89"/>
      <c r="E26" s="89">
        <f>DNA!F8</f>
        <v>0.30951527072016966</v>
      </c>
      <c r="F26" s="90">
        <f t="shared" si="0"/>
        <v>1.7423734250522668E-2</v>
      </c>
      <c r="G26" s="88" t="s">
        <v>123</v>
      </c>
      <c r="H26" s="88" t="s">
        <v>70</v>
      </c>
      <c r="I26" s="88" t="s">
        <v>116</v>
      </c>
      <c r="J26" s="88" t="s">
        <v>124</v>
      </c>
      <c r="K26" s="88">
        <v>10</v>
      </c>
      <c r="L26" s="88">
        <v>12</v>
      </c>
      <c r="M26" s="88">
        <v>5</v>
      </c>
      <c r="N26" s="88">
        <v>13</v>
      </c>
      <c r="O26" s="88">
        <v>3</v>
      </c>
      <c r="P26" s="91">
        <v>0</v>
      </c>
      <c r="Q26" s="91">
        <f t="shared" si="1"/>
        <v>503.15</v>
      </c>
      <c r="R26" s="92" t="s">
        <v>119</v>
      </c>
      <c r="S26" s="93">
        <f>Q26-$Q$115</f>
        <v>328.20099999999996</v>
      </c>
      <c r="T26" s="93">
        <f t="shared" si="3"/>
        <v>101.58322136563039</v>
      </c>
      <c r="U26" s="91"/>
      <c r="V26" s="88">
        <f>T26/$U$24</f>
        <v>0.33040147138589016</v>
      </c>
      <c r="W26" s="94">
        <f>V26*$D$24</f>
        <v>5.7184870047557899E-3</v>
      </c>
      <c r="X26" s="95">
        <f t="shared" si="5"/>
        <v>1.7423734250522668E-2</v>
      </c>
      <c r="Y26" s="93"/>
      <c r="Z26" s="93"/>
      <c r="AA26" s="88"/>
      <c r="AB26" s="96"/>
      <c r="AC26" s="88"/>
      <c r="AD26" s="88">
        <f t="shared" si="6"/>
        <v>8.76675188815048E-3</v>
      </c>
      <c r="AE26" s="88"/>
      <c r="AF26" s="97"/>
    </row>
    <row r="27" spans="2:36" ht="15.75" thickBot="1" x14ac:dyDescent="0.3">
      <c r="B27" s="87"/>
      <c r="C27" s="93" t="s">
        <v>120</v>
      </c>
      <c r="D27" s="89"/>
      <c r="E27" s="89">
        <f>DNA!F9</f>
        <v>0.192826013776106</v>
      </c>
      <c r="F27" s="90">
        <f t="shared" si="0"/>
        <v>1.0854873857451826E-2</v>
      </c>
      <c r="G27" s="88" t="s">
        <v>125</v>
      </c>
      <c r="H27" s="88" t="s">
        <v>70</v>
      </c>
      <c r="I27" s="88" t="s">
        <v>116</v>
      </c>
      <c r="J27" s="88" t="s">
        <v>126</v>
      </c>
      <c r="K27" s="88">
        <v>10</v>
      </c>
      <c r="L27" s="88">
        <v>13</v>
      </c>
      <c r="M27" s="88">
        <v>2</v>
      </c>
      <c r="N27" s="88">
        <v>14</v>
      </c>
      <c r="O27" s="88">
        <v>3</v>
      </c>
      <c r="P27" s="91">
        <v>0</v>
      </c>
      <c r="Q27" s="91">
        <f t="shared" si="1"/>
        <v>478.13600000000008</v>
      </c>
      <c r="R27" s="92" t="s">
        <v>119</v>
      </c>
      <c r="S27" s="93">
        <f>Q27-$Q$115</f>
        <v>303.18700000000007</v>
      </c>
      <c r="T27" s="93">
        <f t="shared" si="3"/>
        <v>58.462340638736265</v>
      </c>
      <c r="U27" s="91"/>
      <c r="V27" s="88">
        <f>T27/$U$24</f>
        <v>0.19014993921266765</v>
      </c>
      <c r="W27" s="94">
        <f>V27*$D$24</f>
        <v>3.2910566402192475E-3</v>
      </c>
      <c r="X27" s="95">
        <f t="shared" si="5"/>
        <v>1.0854873857451826E-2</v>
      </c>
      <c r="Y27" s="93"/>
      <c r="Z27" s="98">
        <f>SUM(X24:X27)</f>
        <v>5.6293617468313316E-2</v>
      </c>
      <c r="AA27" s="88" t="s">
        <v>116</v>
      </c>
      <c r="AB27" s="99">
        <f>SUM(W24:W27)</f>
        <v>1.7307692307692305E-2</v>
      </c>
      <c r="AC27" s="88"/>
      <c r="AD27" s="88">
        <f t="shared" si="6"/>
        <v>5.1901059667065867E-3</v>
      </c>
      <c r="AE27" s="88">
        <f>SUM(AD24:AD27)</f>
        <v>2.7156204390156251E-2</v>
      </c>
      <c r="AF27" s="97">
        <f>AE27-AD115</f>
        <v>1.7307692307692305E-2</v>
      </c>
      <c r="AG27" s="100"/>
    </row>
    <row r="28" spans="2:36" ht="15.75" thickBot="1" x14ac:dyDescent="0.3">
      <c r="B28" s="101"/>
      <c r="C28" s="310" t="s">
        <v>127</v>
      </c>
      <c r="D28" s="342">
        <f>'Macromolecular Composition'!D6</f>
        <v>0.22019230769230771</v>
      </c>
      <c r="E28" s="103">
        <f>RNA!L6</f>
        <v>0.23415435341740501</v>
      </c>
      <c r="F28" s="104">
        <f t="shared" si="0"/>
        <v>0.15978394195372847</v>
      </c>
      <c r="G28" s="102" t="s">
        <v>128</v>
      </c>
      <c r="H28" s="102" t="s">
        <v>70</v>
      </c>
      <c r="I28" s="102" t="s">
        <v>127</v>
      </c>
      <c r="J28" s="102" t="s">
        <v>129</v>
      </c>
      <c r="K28" s="102">
        <v>9</v>
      </c>
      <c r="L28" s="102">
        <v>12</v>
      </c>
      <c r="M28" s="102">
        <v>3</v>
      </c>
      <c r="N28" s="102">
        <v>14</v>
      </c>
      <c r="O28" s="102">
        <v>3</v>
      </c>
      <c r="P28" s="105">
        <v>0</v>
      </c>
      <c r="Q28" s="105">
        <f t="shared" si="1"/>
        <v>479.12400000000002</v>
      </c>
      <c r="R28" s="106" t="s">
        <v>119</v>
      </c>
      <c r="S28" s="107">
        <f>Q28-$Q$116</f>
        <v>304.17500000000001</v>
      </c>
      <c r="T28" s="107">
        <f t="shared" si="3"/>
        <v>71.223900450739166</v>
      </c>
      <c r="U28" s="102">
        <f>SUM(T28:T31)</f>
        <v>322.67940573220733</v>
      </c>
      <c r="V28" s="102">
        <f>T28/$U$28</f>
        <v>0.22072651425994044</v>
      </c>
      <c r="W28" s="108">
        <f>V28*$D$28</f>
        <v>4.8602280543775356E-2</v>
      </c>
      <c r="X28" s="109">
        <f t="shared" si="5"/>
        <v>0.15978394195372847</v>
      </c>
      <c r="Y28" s="107"/>
      <c r="Z28" s="107"/>
      <c r="AA28" s="102"/>
      <c r="AB28" s="110"/>
      <c r="AC28" s="102"/>
      <c r="AD28" s="102">
        <f t="shared" si="6"/>
        <v>7.6556321404638195E-2</v>
      </c>
      <c r="AE28" s="102"/>
      <c r="AF28" s="111"/>
    </row>
    <row r="29" spans="2:36" x14ac:dyDescent="0.25">
      <c r="B29" s="101"/>
      <c r="C29" s="102"/>
      <c r="D29" s="343"/>
      <c r="E29" s="103">
        <f>RNA!L7</f>
        <v>0.30877592054474773</v>
      </c>
      <c r="F29" s="104">
        <f t="shared" si="0"/>
        <v>0.21070474686875379</v>
      </c>
      <c r="G29" s="102" t="s">
        <v>130</v>
      </c>
      <c r="H29" s="102" t="s">
        <v>70</v>
      </c>
      <c r="I29" s="102" t="s">
        <v>127</v>
      </c>
      <c r="J29" s="102" t="s">
        <v>131</v>
      </c>
      <c r="K29" s="102">
        <v>10</v>
      </c>
      <c r="L29" s="102">
        <v>12</v>
      </c>
      <c r="M29" s="102">
        <v>5</v>
      </c>
      <c r="N29" s="102">
        <v>14</v>
      </c>
      <c r="O29" s="102">
        <v>3</v>
      </c>
      <c r="P29" s="105">
        <v>0</v>
      </c>
      <c r="Q29" s="105">
        <f t="shared" si="1"/>
        <v>519.149</v>
      </c>
      <c r="R29" s="106" t="s">
        <v>119</v>
      </c>
      <c r="S29" s="107">
        <f>Q29-$Q$116</f>
        <v>344.2</v>
      </c>
      <c r="T29" s="107">
        <f t="shared" si="3"/>
        <v>106.28067185150216</v>
      </c>
      <c r="U29" s="105"/>
      <c r="V29" s="102">
        <f>T29/$U$28</f>
        <v>0.32936924378652421</v>
      </c>
      <c r="W29" s="108">
        <f>V29*$D$28</f>
        <v>7.2524573872225051E-2</v>
      </c>
      <c r="X29" s="109">
        <f t="shared" si="5"/>
        <v>0.21070474686875379</v>
      </c>
      <c r="Y29" s="107"/>
      <c r="Z29" s="107"/>
      <c r="AA29" s="102"/>
      <c r="AB29" s="110"/>
      <c r="AC29" s="102"/>
      <c r="AD29" s="102">
        <f t="shared" si="6"/>
        <v>0.10938715863216666</v>
      </c>
      <c r="AE29" s="102"/>
      <c r="AF29" s="111"/>
    </row>
    <row r="30" spans="2:36" x14ac:dyDescent="0.25">
      <c r="B30" s="101"/>
      <c r="C30" s="102"/>
      <c r="D30" s="103"/>
      <c r="E30" s="103">
        <f>RNA!L8</f>
        <v>0.20987361016324604</v>
      </c>
      <c r="F30" s="104">
        <f t="shared" si="0"/>
        <v>0.14321507268397804</v>
      </c>
      <c r="G30" s="102" t="s">
        <v>132</v>
      </c>
      <c r="H30" s="102" t="s">
        <v>70</v>
      </c>
      <c r="I30" s="102" t="s">
        <v>127</v>
      </c>
      <c r="J30" s="102" t="s">
        <v>133</v>
      </c>
      <c r="K30" s="102">
        <v>9</v>
      </c>
      <c r="L30" s="102">
        <v>11</v>
      </c>
      <c r="M30" s="102">
        <v>2</v>
      </c>
      <c r="N30" s="102">
        <v>15</v>
      </c>
      <c r="O30" s="102">
        <v>3</v>
      </c>
      <c r="P30" s="105">
        <v>0</v>
      </c>
      <c r="Q30" s="105">
        <f t="shared" si="1"/>
        <v>480.10800000000006</v>
      </c>
      <c r="R30" s="106" t="s">
        <v>119</v>
      </c>
      <c r="S30" s="107">
        <f>Q30-$Q$116</f>
        <v>305.15900000000005</v>
      </c>
      <c r="T30" s="107">
        <f t="shared" si="3"/>
        <v>64.044821003806007</v>
      </c>
      <c r="U30" s="105"/>
      <c r="V30" s="102">
        <f>T30/$U$28</f>
        <v>0.19847817947500812</v>
      </c>
      <c r="W30" s="108">
        <f>V30*$D$28</f>
        <v>4.370336836517006E-2</v>
      </c>
      <c r="X30" s="109">
        <f t="shared" si="5"/>
        <v>0.14321507268397804</v>
      </c>
      <c r="Y30" s="107"/>
      <c r="Z30" s="107"/>
      <c r="AA30" s="102"/>
      <c r="AB30" s="110"/>
      <c r="AC30" s="102"/>
      <c r="AD30" s="102">
        <f t="shared" si="6"/>
        <v>6.8758702116159337E-2</v>
      </c>
      <c r="AE30" s="102"/>
      <c r="AF30" s="111"/>
    </row>
    <row r="31" spans="2:36" ht="15.75" thickBot="1" x14ac:dyDescent="0.3">
      <c r="B31" s="101"/>
      <c r="C31" s="102"/>
      <c r="D31" s="103"/>
      <c r="E31" s="103">
        <f>RNA!L9</f>
        <v>0.24719611587460122</v>
      </c>
      <c r="F31" s="104">
        <f t="shared" si="0"/>
        <v>0.16868347418544505</v>
      </c>
      <c r="G31" s="102" t="s">
        <v>134</v>
      </c>
      <c r="H31" s="102" t="s">
        <v>70</v>
      </c>
      <c r="I31" s="102" t="s">
        <v>127</v>
      </c>
      <c r="J31" s="102" t="s">
        <v>124</v>
      </c>
      <c r="K31" s="102">
        <v>10</v>
      </c>
      <c r="L31" s="102">
        <v>12</v>
      </c>
      <c r="M31" s="102">
        <v>5</v>
      </c>
      <c r="N31" s="102">
        <v>13</v>
      </c>
      <c r="O31" s="102">
        <v>3</v>
      </c>
      <c r="P31" s="105">
        <v>0</v>
      </c>
      <c r="Q31" s="105">
        <f t="shared" si="1"/>
        <v>503.15</v>
      </c>
      <c r="R31" s="106" t="s">
        <v>119</v>
      </c>
      <c r="S31" s="107">
        <f>Q31-$Q$116</f>
        <v>328.20099999999996</v>
      </c>
      <c r="T31" s="107">
        <f t="shared" si="3"/>
        <v>81.130012426159979</v>
      </c>
      <c r="U31" s="105"/>
      <c r="V31" s="102">
        <f>T31/$U$28</f>
        <v>0.25142606247852717</v>
      </c>
      <c r="W31" s="108">
        <f>V31*$D$28</f>
        <v>5.5362084911137241E-2</v>
      </c>
      <c r="X31" s="109">
        <f t="shared" si="5"/>
        <v>0.16868347418544505</v>
      </c>
      <c r="Y31" s="107"/>
      <c r="Z31" s="112">
        <f>SUM(X28:X31)</f>
        <v>0.6823872356919054</v>
      </c>
      <c r="AA31" s="102" t="s">
        <v>127</v>
      </c>
      <c r="AB31" s="113">
        <f>SUM(W28:W31)</f>
        <v>0.22019230769230769</v>
      </c>
      <c r="AC31" s="102"/>
      <c r="AD31" s="102">
        <f t="shared" si="6"/>
        <v>8.4873090036406668E-2</v>
      </c>
      <c r="AE31" s="102">
        <f>SUM(AD28:AD31)</f>
        <v>0.33957527218937089</v>
      </c>
      <c r="AF31" s="111">
        <f>AE31-AD116</f>
        <v>0.22019230769230771</v>
      </c>
      <c r="AG31" s="100"/>
    </row>
    <row r="32" spans="2:36" ht="15.75" thickBot="1" x14ac:dyDescent="0.3">
      <c r="B32" s="122"/>
      <c r="C32" s="311" t="s">
        <v>136</v>
      </c>
      <c r="D32" s="344">
        <f>'Macromolecular Composition'!D7</f>
        <v>2.403846153846154E-2</v>
      </c>
      <c r="E32" s="123">
        <f>Murein!G7</f>
        <v>0.59840000000000004</v>
      </c>
      <c r="F32" s="124">
        <f>X32</f>
        <v>7.9178560056596282E-3</v>
      </c>
      <c r="G32" s="125" t="s">
        <v>137</v>
      </c>
      <c r="H32" s="125" t="s">
        <v>138</v>
      </c>
      <c r="I32" s="125" t="s">
        <v>136</v>
      </c>
      <c r="J32" s="123" t="s">
        <v>139</v>
      </c>
      <c r="K32" s="123">
        <v>74</v>
      </c>
      <c r="L32" s="123">
        <v>114</v>
      </c>
      <c r="M32" s="123">
        <v>14</v>
      </c>
      <c r="N32" s="126">
        <v>40</v>
      </c>
      <c r="O32" s="126">
        <v>0</v>
      </c>
      <c r="P32" s="126">
        <v>0</v>
      </c>
      <c r="Q32" s="126">
        <f t="shared" si="1"/>
        <v>1839.7840000000001</v>
      </c>
      <c r="R32" s="127" t="s">
        <v>135</v>
      </c>
      <c r="S32" s="126">
        <f t="shared" ref="S32:S50" si="8">Q32</f>
        <v>1839.7840000000001</v>
      </c>
      <c r="T32" s="126">
        <f t="shared" si="3"/>
        <v>1100.9267456000002</v>
      </c>
      <c r="U32" s="123">
        <f>SUM(T32:T36)</f>
        <v>1816.7311169000002</v>
      </c>
      <c r="V32" s="126">
        <f>T32/$U$32</f>
        <v>0.60599322341028605</v>
      </c>
      <c r="W32" s="128">
        <f>V32*$D$32</f>
        <v>1.4567144793516493E-2</v>
      </c>
      <c r="X32" s="129">
        <f t="shared" si="5"/>
        <v>7.9178560056596282E-3</v>
      </c>
      <c r="Y32" s="125"/>
      <c r="Z32" s="130"/>
      <c r="AA32" s="123"/>
      <c r="AB32" s="131"/>
      <c r="AC32" s="123"/>
      <c r="AD32" s="123">
        <f t="shared" si="6"/>
        <v>1.4567144793516494E-2</v>
      </c>
      <c r="AE32" s="123"/>
      <c r="AF32" s="132"/>
    </row>
    <row r="33" spans="2:32" x14ac:dyDescent="0.25">
      <c r="B33" s="122"/>
      <c r="C33" s="125" t="s">
        <v>120</v>
      </c>
      <c r="D33" s="129"/>
      <c r="E33" s="123">
        <f>Murein!G8</f>
        <v>0.14960000000000001</v>
      </c>
      <c r="F33" s="124">
        <f t="shared" si="0"/>
        <v>1.979464001414907E-3</v>
      </c>
      <c r="G33" s="125" t="s">
        <v>140</v>
      </c>
      <c r="H33" s="125" t="s">
        <v>138</v>
      </c>
      <c r="I33" s="125" t="s">
        <v>136</v>
      </c>
      <c r="J33" s="123" t="s">
        <v>141</v>
      </c>
      <c r="K33" s="123">
        <v>68</v>
      </c>
      <c r="L33" s="123">
        <v>104</v>
      </c>
      <c r="M33" s="123">
        <v>12</v>
      </c>
      <c r="N33" s="126">
        <v>38</v>
      </c>
      <c r="O33" s="126">
        <v>0</v>
      </c>
      <c r="P33" s="126">
        <v>0</v>
      </c>
      <c r="Q33" s="126">
        <f t="shared" si="1"/>
        <v>1697.626</v>
      </c>
      <c r="R33" s="127" t="s">
        <v>135</v>
      </c>
      <c r="S33" s="126">
        <f t="shared" si="8"/>
        <v>1697.626</v>
      </c>
      <c r="T33" s="126">
        <f t="shared" si="3"/>
        <v>253.96484960000001</v>
      </c>
      <c r="U33" s="126"/>
      <c r="V33" s="126">
        <f>T33/$U$32</f>
        <v>0.13979220548242485</v>
      </c>
      <c r="W33" s="128">
        <f>V33*$D$32</f>
        <v>3.3603895548659822E-3</v>
      </c>
      <c r="X33" s="129">
        <f t="shared" si="5"/>
        <v>1.979464001414907E-3</v>
      </c>
      <c r="Y33" s="125"/>
      <c r="Z33" s="130"/>
      <c r="AA33" s="123"/>
      <c r="AB33" s="131"/>
      <c r="AC33" s="123"/>
      <c r="AD33" s="123">
        <f t="shared" si="6"/>
        <v>3.3603895548659831E-3</v>
      </c>
      <c r="AE33" s="123"/>
      <c r="AF33" s="132"/>
    </row>
    <row r="34" spans="2:32" x14ac:dyDescent="0.25">
      <c r="B34" s="122"/>
      <c r="C34" s="125" t="s">
        <v>120</v>
      </c>
      <c r="D34" s="129"/>
      <c r="E34" s="123">
        <f>Murein!G9</f>
        <v>0.2223</v>
      </c>
      <c r="F34" s="124">
        <f t="shared" si="0"/>
        <v>2.9414094085196099E-3</v>
      </c>
      <c r="G34" s="125" t="s">
        <v>142</v>
      </c>
      <c r="H34" s="125" t="s">
        <v>138</v>
      </c>
      <c r="I34" s="125" t="s">
        <v>136</v>
      </c>
      <c r="J34" s="123" t="s">
        <v>143</v>
      </c>
      <c r="K34" s="123">
        <v>74</v>
      </c>
      <c r="L34" s="123">
        <v>112</v>
      </c>
      <c r="M34" s="123">
        <v>14</v>
      </c>
      <c r="N34" s="126">
        <v>39</v>
      </c>
      <c r="O34" s="126">
        <v>0</v>
      </c>
      <c r="P34" s="126">
        <v>0</v>
      </c>
      <c r="Q34" s="126">
        <f t="shared" si="1"/>
        <v>1821.7689999999998</v>
      </c>
      <c r="R34" s="127" t="s">
        <v>135</v>
      </c>
      <c r="S34" s="126">
        <f t="shared" si="8"/>
        <v>1821.7689999999998</v>
      </c>
      <c r="T34" s="126">
        <f t="shared" si="3"/>
        <v>404.97924869999997</v>
      </c>
      <c r="U34" s="126"/>
      <c r="V34" s="126">
        <f>T34/$U$32</f>
        <v>0.22291644863277341</v>
      </c>
      <c r="W34" s="128">
        <f>V34*$D$32</f>
        <v>5.3585684767493607E-3</v>
      </c>
      <c r="X34" s="129">
        <f t="shared" si="5"/>
        <v>2.9414094085196099E-3</v>
      </c>
      <c r="Y34" s="125"/>
      <c r="Z34" s="130"/>
      <c r="AA34" s="123"/>
      <c r="AB34" s="131"/>
      <c r="AC34" s="123"/>
      <c r="AD34" s="123">
        <f t="shared" si="6"/>
        <v>5.3585684767493607E-3</v>
      </c>
      <c r="AE34" s="123"/>
      <c r="AF34" s="132"/>
    </row>
    <row r="35" spans="2:32" x14ac:dyDescent="0.25">
      <c r="B35" s="122"/>
      <c r="C35" s="125" t="s">
        <v>120</v>
      </c>
      <c r="D35" s="129"/>
      <c r="E35" s="123">
        <f>Murein!G10</f>
        <v>2.47E-2</v>
      </c>
      <c r="F35" s="124">
        <f t="shared" si="0"/>
        <v>3.2682326761329005E-4</v>
      </c>
      <c r="G35" s="125" t="s">
        <v>144</v>
      </c>
      <c r="H35" s="125" t="s">
        <v>138</v>
      </c>
      <c r="I35" s="125" t="s">
        <v>136</v>
      </c>
      <c r="J35" s="123" t="s">
        <v>145</v>
      </c>
      <c r="K35" s="123">
        <v>71</v>
      </c>
      <c r="L35" s="123">
        <v>107</v>
      </c>
      <c r="M35" s="123">
        <v>13</v>
      </c>
      <c r="N35" s="126">
        <v>38</v>
      </c>
      <c r="O35" s="126">
        <v>0</v>
      </c>
      <c r="P35" s="126">
        <v>0</v>
      </c>
      <c r="Q35" s="126">
        <f t="shared" si="1"/>
        <v>1750.69</v>
      </c>
      <c r="R35" s="127" t="s">
        <v>135</v>
      </c>
      <c r="S35" s="126">
        <f t="shared" si="8"/>
        <v>1750.69</v>
      </c>
      <c r="T35" s="126">
        <f t="shared" si="3"/>
        <v>43.242043000000002</v>
      </c>
      <c r="U35" s="126"/>
      <c r="V35" s="126">
        <f>T35/$U$32</f>
        <v>2.3802115017321084E-2</v>
      </c>
      <c r="W35" s="128">
        <f>V35*$D$32</f>
        <v>5.721662263779107E-4</v>
      </c>
      <c r="X35" s="129">
        <f t="shared" si="5"/>
        <v>3.2682326761329005E-4</v>
      </c>
      <c r="Y35" s="125"/>
      <c r="Z35" s="130"/>
      <c r="AA35" s="123"/>
      <c r="AB35" s="131"/>
      <c r="AC35" s="123"/>
      <c r="AD35" s="123">
        <f t="shared" si="6"/>
        <v>5.7216622637791081E-4</v>
      </c>
      <c r="AE35" s="123"/>
      <c r="AF35" s="132"/>
    </row>
    <row r="36" spans="2:32" ht="15.75" thickBot="1" x14ac:dyDescent="0.3">
      <c r="B36" s="122"/>
      <c r="C36" s="125" t="s">
        <v>120</v>
      </c>
      <c r="D36" s="129"/>
      <c r="E36" s="123">
        <f>Murein!G11</f>
        <v>5.0000000000000001E-3</v>
      </c>
      <c r="F36" s="124">
        <f t="shared" si="0"/>
        <v>6.6158556197022276E-5</v>
      </c>
      <c r="G36" s="125" t="s">
        <v>146</v>
      </c>
      <c r="H36" s="125" t="s">
        <v>138</v>
      </c>
      <c r="I36" s="125" t="s">
        <v>136</v>
      </c>
      <c r="J36" s="123" t="s">
        <v>147</v>
      </c>
      <c r="K36" s="123">
        <v>111</v>
      </c>
      <c r="L36" s="123">
        <v>167</v>
      </c>
      <c r="M36" s="123">
        <v>21</v>
      </c>
      <c r="N36" s="126">
        <v>58</v>
      </c>
      <c r="O36" s="126">
        <v>0</v>
      </c>
      <c r="P36" s="126">
        <v>0</v>
      </c>
      <c r="Q36" s="126">
        <f t="shared" si="1"/>
        <v>2723.6459999999997</v>
      </c>
      <c r="R36" s="127" t="s">
        <v>135</v>
      </c>
      <c r="S36" s="126">
        <f t="shared" si="8"/>
        <v>2723.6459999999997</v>
      </c>
      <c r="T36" s="126">
        <f t="shared" si="3"/>
        <v>13.618229999999999</v>
      </c>
      <c r="U36" s="126"/>
      <c r="V36" s="126">
        <f>T36/$U$32</f>
        <v>7.4960074571946674E-3</v>
      </c>
      <c r="W36" s="128">
        <f>V36*$D$32</f>
        <v>1.8019248695179491E-4</v>
      </c>
      <c r="X36" s="129">
        <f t="shared" si="5"/>
        <v>6.6158556197022276E-5</v>
      </c>
      <c r="Y36" s="125"/>
      <c r="Z36" s="133">
        <f>SUM(X32:X36)</f>
        <v>1.3231711239404456E-2</v>
      </c>
      <c r="AA36" s="123" t="s">
        <v>136</v>
      </c>
      <c r="AB36" s="134">
        <f>SUM(W32:W36)</f>
        <v>2.403846153846154E-2</v>
      </c>
      <c r="AC36" s="123"/>
      <c r="AD36" s="123">
        <f t="shared" si="6"/>
        <v>1.8019248695179491E-4</v>
      </c>
      <c r="AE36" s="123"/>
      <c r="AF36" s="132">
        <f>SUM(AD32:AD36)</f>
        <v>2.4038461538461543E-2</v>
      </c>
    </row>
    <row r="37" spans="2:32" ht="15.75" thickBot="1" x14ac:dyDescent="0.3">
      <c r="B37" s="135"/>
      <c r="C37" s="312" t="s">
        <v>148</v>
      </c>
      <c r="D37" s="345">
        <f>'Macromolecular Composition'!D8</f>
        <v>3.2692307692307694E-2</v>
      </c>
      <c r="E37" s="136">
        <v>1</v>
      </c>
      <c r="F37" s="137">
        <f t="shared" si="0"/>
        <v>8.6960231449259798E-3</v>
      </c>
      <c r="G37" s="136" t="s">
        <v>441</v>
      </c>
      <c r="H37" s="136" t="s">
        <v>149</v>
      </c>
      <c r="I37" s="136" t="s">
        <v>148</v>
      </c>
      <c r="J37" s="136" t="s">
        <v>442</v>
      </c>
      <c r="K37" s="136">
        <v>148</v>
      </c>
      <c r="L37" s="136">
        <v>254</v>
      </c>
      <c r="M37" s="136">
        <v>6</v>
      </c>
      <c r="N37" s="138">
        <v>91</v>
      </c>
      <c r="O37" s="138">
        <v>6</v>
      </c>
      <c r="P37" s="138">
        <v>0</v>
      </c>
      <c r="Q37" s="138">
        <f>(K37*12.011)+(L37*1.008)+(N37*15.999)+(14.007*M37)+(O37*30.974)+(P37*32.066)</f>
        <v>3759.4549999999999</v>
      </c>
      <c r="R37" s="139" t="s">
        <v>135</v>
      </c>
      <c r="S37" s="139">
        <f t="shared" si="8"/>
        <v>3759.4549999999999</v>
      </c>
      <c r="T37" s="139">
        <f t="shared" si="3"/>
        <v>3759.4549999999999</v>
      </c>
      <c r="U37" s="139">
        <f>SUM(T37)</f>
        <v>3759.4549999999999</v>
      </c>
      <c r="V37" s="139">
        <f>T37/$U$37</f>
        <v>1</v>
      </c>
      <c r="W37" s="140">
        <f>V37*$D$37</f>
        <v>3.2692307692307694E-2</v>
      </c>
      <c r="X37" s="139">
        <f>W37/S37*1000</f>
        <v>8.6960231449259798E-3</v>
      </c>
      <c r="Y37" s="139"/>
      <c r="Z37" s="141">
        <f>SUM(X37)</f>
        <v>8.6960231449259798E-3</v>
      </c>
      <c r="AA37" s="139" t="s">
        <v>148</v>
      </c>
      <c r="AB37" s="141">
        <f>SUM(W37)</f>
        <v>3.2692307692307694E-2</v>
      </c>
      <c r="AC37" s="136"/>
      <c r="AD37" s="136">
        <f t="shared" si="6"/>
        <v>3.2692307692307701E-2</v>
      </c>
      <c r="AE37" s="136"/>
      <c r="AF37" s="142">
        <f>AD37</f>
        <v>3.2692307692307701E-2</v>
      </c>
    </row>
    <row r="38" spans="2:32" ht="15.75" thickBot="1" x14ac:dyDescent="0.3">
      <c r="B38" s="348"/>
      <c r="C38" s="359" t="s">
        <v>150</v>
      </c>
      <c r="D38" s="360">
        <f>'Macromolecular Composition'!D9</f>
        <v>8.1730769230769232E-2</v>
      </c>
      <c r="E38" s="350">
        <f>'Lipids '!D33</f>
        <v>2.2670756290457806E-3</v>
      </c>
      <c r="F38" s="349">
        <f t="shared" si="0"/>
        <v>2.512644127844465E-4</v>
      </c>
      <c r="G38" s="350" t="s">
        <v>22</v>
      </c>
      <c r="H38" s="350" t="s">
        <v>151</v>
      </c>
      <c r="I38" s="350" t="s">
        <v>150</v>
      </c>
      <c r="J38" s="350" t="s">
        <v>435</v>
      </c>
      <c r="K38" s="350">
        <v>33</v>
      </c>
      <c r="L38" s="350">
        <v>66</v>
      </c>
      <c r="M38" s="350">
        <v>1</v>
      </c>
      <c r="N38" s="361">
        <v>8</v>
      </c>
      <c r="O38" s="361">
        <v>1</v>
      </c>
      <c r="P38" s="361">
        <v>0</v>
      </c>
      <c r="Q38" s="361">
        <f>(K38*12.011)+(L38*1.008)+(N38*15.999)+(14.007*M38)+(O38*30.974)+(P38*32.066)</f>
        <v>635.86400000000003</v>
      </c>
      <c r="R38" s="362" t="s">
        <v>135</v>
      </c>
      <c r="S38" s="362">
        <f t="shared" si="8"/>
        <v>635.86400000000003</v>
      </c>
      <c r="T38" s="351">
        <f t="shared" si="3"/>
        <v>1.4415517777875664</v>
      </c>
      <c r="U38" s="351">
        <f>SUM(T39:T51)</f>
        <v>737.42967821391107</v>
      </c>
      <c r="V38" s="351">
        <f t="shared" ref="V38:V54" si="9">T38/$U$38</f>
        <v>1.9548328747482357E-3</v>
      </c>
      <c r="W38" s="352">
        <f t="shared" ref="W38:W54" si="10">V38*$D$38</f>
        <v>1.5976999457076928E-4</v>
      </c>
      <c r="X38" s="353">
        <f t="shared" ref="X38:X50" si="11">W38/S38*1000</f>
        <v>2.512644127844465E-4</v>
      </c>
      <c r="Y38" s="362"/>
      <c r="Z38" s="363"/>
      <c r="AA38" s="362"/>
      <c r="AB38" s="363"/>
      <c r="AC38" s="350"/>
      <c r="AD38" s="350">
        <f t="shared" si="6"/>
        <v>1.5976999457076928E-4</v>
      </c>
      <c r="AE38" s="350"/>
      <c r="AF38" s="354"/>
    </row>
    <row r="39" spans="2:32" x14ac:dyDescent="0.25">
      <c r="B39" s="348"/>
      <c r="C39" s="347"/>
      <c r="D39" s="347"/>
      <c r="E39" s="350">
        <f>'Lipids '!D34</f>
        <v>7.1121407966215675E-2</v>
      </c>
      <c r="F39" s="349">
        <f t="shared" si="0"/>
        <v>7.8825243322631876E-3</v>
      </c>
      <c r="G39" s="350" t="s">
        <v>23</v>
      </c>
      <c r="H39" s="350" t="s">
        <v>151</v>
      </c>
      <c r="I39" s="350" t="s">
        <v>150</v>
      </c>
      <c r="J39" s="350" t="s">
        <v>152</v>
      </c>
      <c r="K39" s="350">
        <v>37</v>
      </c>
      <c r="L39" s="350">
        <v>74</v>
      </c>
      <c r="M39" s="350">
        <v>1</v>
      </c>
      <c r="N39" s="350">
        <v>8</v>
      </c>
      <c r="O39" s="350">
        <v>1</v>
      </c>
      <c r="P39" s="350">
        <v>0</v>
      </c>
      <c r="Q39" s="350">
        <f t="shared" ref="Q39:Q48" si="12">(K39*12.011)+(L39*1.008)+(N39*15.999)+(14.007*M39)+(O39*30.974)+(P39*32.066)</f>
        <v>691.97199999999998</v>
      </c>
      <c r="R39" s="351" t="s">
        <v>135</v>
      </c>
      <c r="S39" s="351">
        <f t="shared" si="8"/>
        <v>691.97199999999998</v>
      </c>
      <c r="T39" s="351">
        <f t="shared" si="3"/>
        <v>49.214022913198193</v>
      </c>
      <c r="U39" s="347"/>
      <c r="V39" s="351">
        <f t="shared" si="9"/>
        <v>6.6737242027466046E-2</v>
      </c>
      <c r="W39" s="352">
        <f t="shared" si="10"/>
        <v>5.4544861272448212E-3</v>
      </c>
      <c r="X39" s="353">
        <f t="shared" si="11"/>
        <v>7.8825243322631876E-3</v>
      </c>
      <c r="Y39" s="351"/>
      <c r="Z39" s="351"/>
      <c r="AA39" s="351"/>
      <c r="AB39" s="351"/>
      <c r="AC39" s="350"/>
      <c r="AD39" s="350">
        <f t="shared" si="6"/>
        <v>5.454486127244822E-3</v>
      </c>
      <c r="AE39" s="350"/>
      <c r="AF39" s="354"/>
    </row>
    <row r="40" spans="2:32" x14ac:dyDescent="0.25">
      <c r="B40" s="348"/>
      <c r="C40" s="355" t="s">
        <v>120</v>
      </c>
      <c r="D40" s="356"/>
      <c r="E40" s="350">
        <f>'Lipids '!D35</f>
        <v>0.35328340498092464</v>
      </c>
      <c r="F40" s="349">
        <f t="shared" si="0"/>
        <v>3.915508867976511E-2</v>
      </c>
      <c r="G40" s="350" t="s">
        <v>24</v>
      </c>
      <c r="H40" s="350" t="s">
        <v>151</v>
      </c>
      <c r="I40" s="350" t="s">
        <v>150</v>
      </c>
      <c r="J40" s="350" t="s">
        <v>153</v>
      </c>
      <c r="K40" s="350">
        <v>37</v>
      </c>
      <c r="L40" s="350">
        <v>70</v>
      </c>
      <c r="M40" s="350">
        <v>1</v>
      </c>
      <c r="N40" s="350">
        <v>8</v>
      </c>
      <c r="O40" s="350">
        <v>1</v>
      </c>
      <c r="P40" s="350">
        <v>0</v>
      </c>
      <c r="Q40" s="350">
        <f t="shared" si="12"/>
        <v>687.93999999999994</v>
      </c>
      <c r="R40" s="351" t="s">
        <v>135</v>
      </c>
      <c r="S40" s="351">
        <f t="shared" si="8"/>
        <v>687.93999999999994</v>
      </c>
      <c r="T40" s="351">
        <f t="shared" si="3"/>
        <v>243.03778562257727</v>
      </c>
      <c r="U40" s="351"/>
      <c r="V40" s="351">
        <f t="shared" si="9"/>
        <v>0.32957418558366958</v>
      </c>
      <c r="W40" s="352">
        <f t="shared" si="10"/>
        <v>2.6936351706357609E-2</v>
      </c>
      <c r="X40" s="353">
        <f t="shared" si="11"/>
        <v>3.915508867976511E-2</v>
      </c>
      <c r="Y40" s="351"/>
      <c r="Z40" s="351"/>
      <c r="AA40" s="351"/>
      <c r="AB40" s="351"/>
      <c r="AC40" s="350"/>
      <c r="AD40" s="350">
        <f t="shared" si="6"/>
        <v>2.6936351706357609E-2</v>
      </c>
      <c r="AE40" s="350"/>
      <c r="AF40" s="354"/>
    </row>
    <row r="41" spans="2:32" x14ac:dyDescent="0.25">
      <c r="B41" s="348"/>
      <c r="C41" s="355" t="s">
        <v>120</v>
      </c>
      <c r="D41" s="353"/>
      <c r="E41" s="350">
        <f>'Lipids '!D36</f>
        <v>0.16101255159145841</v>
      </c>
      <c r="F41" s="349">
        <f t="shared" si="0"/>
        <v>1.7845335068765025E-2</v>
      </c>
      <c r="G41" s="350" t="s">
        <v>25</v>
      </c>
      <c r="H41" s="350" t="s">
        <v>151</v>
      </c>
      <c r="I41" s="350" t="s">
        <v>150</v>
      </c>
      <c r="J41" s="350" t="s">
        <v>154</v>
      </c>
      <c r="K41" s="350">
        <v>41</v>
      </c>
      <c r="L41" s="350">
        <v>78</v>
      </c>
      <c r="M41" s="350">
        <v>1</v>
      </c>
      <c r="N41" s="350">
        <v>8</v>
      </c>
      <c r="O41" s="350">
        <v>1</v>
      </c>
      <c r="P41" s="350">
        <v>0</v>
      </c>
      <c r="Q41" s="350">
        <f t="shared" si="12"/>
        <v>744.04799999999989</v>
      </c>
      <c r="R41" s="351" t="s">
        <v>135</v>
      </c>
      <c r="S41" s="351">
        <f t="shared" si="8"/>
        <v>744.04799999999989</v>
      </c>
      <c r="T41" s="351">
        <f t="shared" si="3"/>
        <v>119.80106698652143</v>
      </c>
      <c r="U41" s="351"/>
      <c r="V41" s="351">
        <f t="shared" si="9"/>
        <v>0.16245761531687358</v>
      </c>
      <c r="W41" s="352">
        <f t="shared" si="10"/>
        <v>1.3277785867244476E-2</v>
      </c>
      <c r="X41" s="353">
        <f t="shared" si="11"/>
        <v>1.7845335068765025E-2</v>
      </c>
      <c r="Y41" s="351"/>
      <c r="Z41" s="351"/>
      <c r="AA41" s="351"/>
      <c r="AB41" s="351"/>
      <c r="AC41" s="350"/>
      <c r="AD41" s="350">
        <f t="shared" si="6"/>
        <v>1.3277785867244476E-2</v>
      </c>
      <c r="AE41" s="350"/>
      <c r="AF41" s="354"/>
    </row>
    <row r="42" spans="2:32" x14ac:dyDescent="0.25">
      <c r="B42" s="348"/>
      <c r="C42" s="355"/>
      <c r="D42" s="353"/>
      <c r="E42" s="350">
        <f>'Lipids '!D37</f>
        <v>2.3665860192459691E-2</v>
      </c>
      <c r="F42" s="349">
        <f t="shared" si="0"/>
        <v>2.6229334337646449E-3</v>
      </c>
      <c r="G42" s="350" t="s">
        <v>26</v>
      </c>
      <c r="H42" s="350" t="s">
        <v>151</v>
      </c>
      <c r="I42" s="350" t="s">
        <v>150</v>
      </c>
      <c r="J42" s="350" t="s">
        <v>436</v>
      </c>
      <c r="K42" s="350">
        <v>41</v>
      </c>
      <c r="L42" s="350">
        <v>82</v>
      </c>
      <c r="M42" s="350">
        <v>1</v>
      </c>
      <c r="N42" s="350">
        <v>8</v>
      </c>
      <c r="O42" s="350">
        <v>1</v>
      </c>
      <c r="P42" s="350">
        <v>0</v>
      </c>
      <c r="Q42" s="350">
        <f t="shared" si="12"/>
        <v>748.07999999999993</v>
      </c>
      <c r="R42" s="351" t="s">
        <v>135</v>
      </c>
      <c r="S42" s="351">
        <f t="shared" si="8"/>
        <v>748.07999999999993</v>
      </c>
      <c r="T42" s="351">
        <f t="shared" si="3"/>
        <v>17.703956692775243</v>
      </c>
      <c r="U42" s="351"/>
      <c r="V42" s="351">
        <f t="shared" si="9"/>
        <v>2.4007654174775076E-2</v>
      </c>
      <c r="W42" s="352">
        <f t="shared" si="10"/>
        <v>1.9621640431306555E-3</v>
      </c>
      <c r="X42" s="353">
        <f t="shared" si="11"/>
        <v>2.6229334337646449E-3</v>
      </c>
      <c r="Y42" s="351"/>
      <c r="Z42" s="351"/>
      <c r="AA42" s="351"/>
      <c r="AB42" s="351"/>
      <c r="AC42" s="350"/>
      <c r="AD42" s="350">
        <f t="shared" si="6"/>
        <v>1.9621640431306555E-3</v>
      </c>
      <c r="AE42" s="350"/>
      <c r="AF42" s="354"/>
    </row>
    <row r="43" spans="2:32" x14ac:dyDescent="0.25">
      <c r="B43" s="348"/>
      <c r="C43" s="355"/>
      <c r="D43" s="353"/>
      <c r="E43" s="350">
        <f>'Lipids '!D38</f>
        <v>1.2525197469257314E-3</v>
      </c>
      <c r="F43" s="349">
        <f t="shared" si="0"/>
        <v>1.3881920597623882E-4</v>
      </c>
      <c r="G43" s="350" t="s">
        <v>27</v>
      </c>
      <c r="H43" s="350" t="s">
        <v>151</v>
      </c>
      <c r="I43" s="350" t="s">
        <v>150</v>
      </c>
      <c r="J43" s="350" t="s">
        <v>437</v>
      </c>
      <c r="K43" s="350">
        <v>34</v>
      </c>
      <c r="L43" s="350">
        <v>66</v>
      </c>
      <c r="M43" s="350">
        <v>0</v>
      </c>
      <c r="N43" s="350">
        <v>10</v>
      </c>
      <c r="O43" s="350">
        <v>1</v>
      </c>
      <c r="P43" s="350">
        <v>0</v>
      </c>
      <c r="Q43" s="350">
        <f t="shared" si="12"/>
        <v>665.8660000000001</v>
      </c>
      <c r="R43" s="351" t="s">
        <v>135</v>
      </c>
      <c r="S43" s="351">
        <f t="shared" si="8"/>
        <v>665.8660000000001</v>
      </c>
      <c r="T43" s="351">
        <f t="shared" si="3"/>
        <v>0.83401031380644919</v>
      </c>
      <c r="U43" s="351"/>
      <c r="V43" s="351">
        <f t="shared" si="9"/>
        <v>1.1309692821510262E-3</v>
      </c>
      <c r="W43" s="352">
        <f t="shared" si="10"/>
        <v>9.2434989406574251E-5</v>
      </c>
      <c r="X43" s="353">
        <f t="shared" si="11"/>
        <v>1.3881920597623882E-4</v>
      </c>
      <c r="Y43" s="351"/>
      <c r="Z43" s="351"/>
      <c r="AA43" s="351"/>
      <c r="AB43" s="351"/>
      <c r="AC43" s="350"/>
      <c r="AD43" s="350">
        <f t="shared" si="6"/>
        <v>9.2434989406574251E-5</v>
      </c>
      <c r="AE43" s="350"/>
      <c r="AF43" s="354"/>
    </row>
    <row r="44" spans="2:32" x14ac:dyDescent="0.25">
      <c r="B44" s="348"/>
      <c r="C44" s="355" t="s">
        <v>120</v>
      </c>
      <c r="D44" s="353"/>
      <c r="E44" s="350">
        <f>'Lipids '!D39</f>
        <v>3.9293337533843377E-2</v>
      </c>
      <c r="F44" s="349">
        <f t="shared" si="0"/>
        <v>4.3549572212276807E-3</v>
      </c>
      <c r="G44" s="350" t="s">
        <v>28</v>
      </c>
      <c r="H44" s="350" t="s">
        <v>151</v>
      </c>
      <c r="I44" s="350" t="s">
        <v>150</v>
      </c>
      <c r="J44" s="350" t="s">
        <v>155</v>
      </c>
      <c r="K44" s="350">
        <v>38</v>
      </c>
      <c r="L44" s="350">
        <v>74</v>
      </c>
      <c r="M44" s="350">
        <v>0</v>
      </c>
      <c r="N44" s="350">
        <v>10</v>
      </c>
      <c r="O44" s="350">
        <v>1</v>
      </c>
      <c r="P44" s="350">
        <v>0</v>
      </c>
      <c r="Q44" s="350">
        <f t="shared" si="12"/>
        <v>721.97400000000005</v>
      </c>
      <c r="R44" s="351" t="s">
        <v>135</v>
      </c>
      <c r="S44" s="351">
        <f t="shared" si="8"/>
        <v>721.97400000000005</v>
      </c>
      <c r="T44" s="351">
        <f t="shared" si="3"/>
        <v>28.368768072659041</v>
      </c>
      <c r="U44" s="351"/>
      <c r="V44" s="351">
        <f t="shared" si="9"/>
        <v>3.8469794355672687E-2</v>
      </c>
      <c r="W44" s="352">
        <f t="shared" si="10"/>
        <v>3.1441658848386333E-3</v>
      </c>
      <c r="X44" s="353">
        <f t="shared" si="11"/>
        <v>4.3549572212276807E-3</v>
      </c>
      <c r="Y44" s="351"/>
      <c r="Z44" s="351"/>
      <c r="AA44" s="351"/>
      <c r="AB44" s="351"/>
      <c r="AC44" s="350"/>
      <c r="AD44" s="350">
        <f t="shared" si="6"/>
        <v>3.1441658848386338E-3</v>
      </c>
      <c r="AE44" s="350"/>
      <c r="AF44" s="354"/>
    </row>
    <row r="45" spans="2:32" x14ac:dyDescent="0.25">
      <c r="B45" s="348"/>
      <c r="C45" s="355" t="s">
        <v>120</v>
      </c>
      <c r="D45" s="353"/>
      <c r="E45" s="350">
        <f>'Lipids '!D40</f>
        <v>0.19518291993902989</v>
      </c>
      <c r="F45" s="349">
        <f t="shared" si="0"/>
        <v>2.1632503625243465E-2</v>
      </c>
      <c r="G45" s="350" t="s">
        <v>29</v>
      </c>
      <c r="H45" s="350" t="s">
        <v>151</v>
      </c>
      <c r="I45" s="350" t="s">
        <v>150</v>
      </c>
      <c r="J45" s="350" t="s">
        <v>156</v>
      </c>
      <c r="K45" s="350">
        <v>38</v>
      </c>
      <c r="L45" s="350">
        <v>70</v>
      </c>
      <c r="M45" s="350">
        <v>0</v>
      </c>
      <c r="N45" s="350">
        <v>10</v>
      </c>
      <c r="O45" s="350">
        <v>1</v>
      </c>
      <c r="P45" s="350">
        <v>0</v>
      </c>
      <c r="Q45" s="350">
        <f t="shared" si="12"/>
        <v>717.94200000000001</v>
      </c>
      <c r="R45" s="351" t="s">
        <v>135</v>
      </c>
      <c r="S45" s="351">
        <f t="shared" si="8"/>
        <v>717.94200000000001</v>
      </c>
      <c r="T45" s="351">
        <f t="shared" si="3"/>
        <v>140.13001590686699</v>
      </c>
      <c r="U45" s="351"/>
      <c r="V45" s="351">
        <f t="shared" si="9"/>
        <v>0.19002492040497798</v>
      </c>
      <c r="W45" s="352">
        <f t="shared" si="10"/>
        <v>1.5530882917714546E-2</v>
      </c>
      <c r="X45" s="353">
        <f t="shared" si="11"/>
        <v>2.1632503625243465E-2</v>
      </c>
      <c r="Y45" s="351"/>
      <c r="Z45" s="351"/>
      <c r="AA45" s="351"/>
      <c r="AB45" s="351"/>
      <c r="AC45" s="350"/>
      <c r="AD45" s="350">
        <f t="shared" si="6"/>
        <v>1.5530882917714544E-2</v>
      </c>
      <c r="AE45" s="350"/>
      <c r="AF45" s="354"/>
    </row>
    <row r="46" spans="2:32" x14ac:dyDescent="0.25">
      <c r="B46" s="348"/>
      <c r="C46" s="355" t="s">
        <v>120</v>
      </c>
      <c r="D46" s="353"/>
      <c r="E46" s="350">
        <f>'Lipids '!D41</f>
        <v>8.8956626672434341E-2</v>
      </c>
      <c r="F46" s="349">
        <f t="shared" si="0"/>
        <v>9.8592364003058496E-3</v>
      </c>
      <c r="G46" s="350" t="s">
        <v>30</v>
      </c>
      <c r="H46" s="350" t="s">
        <v>151</v>
      </c>
      <c r="I46" s="350" t="s">
        <v>150</v>
      </c>
      <c r="J46" s="350" t="s">
        <v>157</v>
      </c>
      <c r="K46" s="350">
        <v>42</v>
      </c>
      <c r="L46" s="350">
        <v>78</v>
      </c>
      <c r="M46" s="350">
        <v>0</v>
      </c>
      <c r="N46" s="350">
        <v>10</v>
      </c>
      <c r="O46" s="350">
        <v>1</v>
      </c>
      <c r="P46" s="350">
        <v>0</v>
      </c>
      <c r="Q46" s="350">
        <f t="shared" si="12"/>
        <v>774.05000000000007</v>
      </c>
      <c r="R46" s="351" t="s">
        <v>135</v>
      </c>
      <c r="S46" s="351">
        <f t="shared" si="8"/>
        <v>774.05000000000007</v>
      </c>
      <c r="T46" s="351">
        <f t="shared" si="3"/>
        <v>68.856876875797809</v>
      </c>
      <c r="U46" s="351"/>
      <c r="V46" s="351">
        <f t="shared" si="9"/>
        <v>9.3374160153917807E-2</v>
      </c>
      <c r="W46" s="352">
        <f t="shared" si="10"/>
        <v>7.6315419356567443E-3</v>
      </c>
      <c r="X46" s="353">
        <f t="shared" si="11"/>
        <v>9.8592364003058496E-3</v>
      </c>
      <c r="Y46" s="351"/>
      <c r="Z46" s="351"/>
      <c r="AA46" s="351"/>
      <c r="AB46" s="351"/>
      <c r="AC46" s="350"/>
      <c r="AD46" s="350">
        <f t="shared" si="6"/>
        <v>7.6315419356567434E-3</v>
      </c>
      <c r="AE46" s="350"/>
      <c r="AF46" s="354"/>
    </row>
    <row r="47" spans="2:32" x14ac:dyDescent="0.25">
      <c r="B47" s="348"/>
      <c r="C47" s="355"/>
      <c r="D47" s="353"/>
      <c r="E47" s="350">
        <f>'Lipids '!D42</f>
        <v>1.3074975020359487E-2</v>
      </c>
      <c r="F47" s="349">
        <f t="shared" si="0"/>
        <v>1.4491249778220746E-3</v>
      </c>
      <c r="G47" s="350" t="s">
        <v>31</v>
      </c>
      <c r="H47" s="350" t="s">
        <v>151</v>
      </c>
      <c r="I47" s="350" t="s">
        <v>150</v>
      </c>
      <c r="J47" s="350" t="s">
        <v>438</v>
      </c>
      <c r="K47" s="350">
        <v>42</v>
      </c>
      <c r="L47" s="350">
        <v>82</v>
      </c>
      <c r="M47" s="350">
        <v>0</v>
      </c>
      <c r="N47" s="350">
        <v>10</v>
      </c>
      <c r="O47" s="350">
        <v>1</v>
      </c>
      <c r="P47" s="350">
        <v>0</v>
      </c>
      <c r="Q47" s="350">
        <f t="shared" si="12"/>
        <v>778.08199999999999</v>
      </c>
      <c r="R47" s="351" t="s">
        <v>135</v>
      </c>
      <c r="S47" s="351">
        <f t="shared" si="8"/>
        <v>778.08199999999999</v>
      </c>
      <c r="T47" s="351">
        <f t="shared" si="3"/>
        <v>10.173402713791351</v>
      </c>
      <c r="U47" s="351"/>
      <c r="V47" s="351">
        <f t="shared" si="9"/>
        <v>1.3795759805100066E-2</v>
      </c>
      <c r="W47" s="352">
        <f t="shared" si="10"/>
        <v>1.1275380609937554E-3</v>
      </c>
      <c r="X47" s="353">
        <f t="shared" si="11"/>
        <v>1.4491249778220746E-3</v>
      </c>
      <c r="Y47" s="351"/>
      <c r="Z47" s="351"/>
      <c r="AA47" s="351"/>
      <c r="AB47" s="351"/>
      <c r="AC47" s="350"/>
      <c r="AD47" s="350">
        <f t="shared" si="6"/>
        <v>1.1275380609937556E-3</v>
      </c>
      <c r="AE47" s="350"/>
      <c r="AF47" s="354"/>
    </row>
    <row r="48" spans="2:32" x14ac:dyDescent="0.25">
      <c r="B48" s="348"/>
      <c r="C48" s="355"/>
      <c r="D48" s="353"/>
      <c r="E48" s="350">
        <f>'Lipids '!D43</f>
        <v>1.6638378576832292E-4</v>
      </c>
      <c r="F48" s="349">
        <f t="shared" si="0"/>
        <v>1.8440639426540538E-5</v>
      </c>
      <c r="G48" s="350" t="s">
        <v>32</v>
      </c>
      <c r="H48" s="350" t="s">
        <v>138</v>
      </c>
      <c r="I48" s="350" t="s">
        <v>150</v>
      </c>
      <c r="J48" s="350" t="s">
        <v>439</v>
      </c>
      <c r="K48" s="350">
        <v>65</v>
      </c>
      <c r="L48" s="350">
        <v>124</v>
      </c>
      <c r="M48" s="350">
        <v>0</v>
      </c>
      <c r="N48" s="350">
        <v>17</v>
      </c>
      <c r="O48" s="350">
        <v>2</v>
      </c>
      <c r="P48" s="350">
        <v>0</v>
      </c>
      <c r="Q48" s="350">
        <f t="shared" si="12"/>
        <v>1239.6379999999999</v>
      </c>
      <c r="R48" s="351" t="s">
        <v>135</v>
      </c>
      <c r="S48" s="351">
        <f t="shared" si="8"/>
        <v>1239.6379999999999</v>
      </c>
      <c r="T48" s="351">
        <f t="shared" si="3"/>
        <v>0.20625566342227228</v>
      </c>
      <c r="U48" s="351"/>
      <c r="V48" s="351">
        <f t="shared" si="9"/>
        <v>2.7969536555923962E-4</v>
      </c>
      <c r="W48" s="352">
        <f t="shared" si="10"/>
        <v>2.2859717377437855E-5</v>
      </c>
      <c r="X48" s="353">
        <f t="shared" si="11"/>
        <v>1.8440639426540538E-5</v>
      </c>
      <c r="Y48" s="351"/>
      <c r="Z48" s="351"/>
      <c r="AA48" s="351"/>
      <c r="AB48" s="351"/>
      <c r="AC48" s="350"/>
      <c r="AD48" s="350">
        <f t="shared" si="6"/>
        <v>2.2859717377437858E-5</v>
      </c>
      <c r="AE48" s="350"/>
      <c r="AF48" s="354"/>
    </row>
    <row r="49" spans="2:32" x14ac:dyDescent="0.25">
      <c r="B49" s="348"/>
      <c r="C49" s="355" t="s">
        <v>120</v>
      </c>
      <c r="D49" s="353"/>
      <c r="E49" s="350">
        <f>'Lipids '!D44</f>
        <v>5.2196975499988326E-3</v>
      </c>
      <c r="F49" s="349">
        <f t="shared" si="0"/>
        <v>5.7850925792224026E-4</v>
      </c>
      <c r="G49" s="350" t="s">
        <v>33</v>
      </c>
      <c r="H49" s="350" t="s">
        <v>138</v>
      </c>
      <c r="I49" s="350" t="s">
        <v>150</v>
      </c>
      <c r="J49" s="350" t="s">
        <v>158</v>
      </c>
      <c r="K49" s="350">
        <v>73</v>
      </c>
      <c r="L49" s="350">
        <v>140</v>
      </c>
      <c r="M49" s="350">
        <v>0</v>
      </c>
      <c r="N49" s="350">
        <v>17</v>
      </c>
      <c r="O49" s="350">
        <v>2</v>
      </c>
      <c r="P49" s="350">
        <v>0</v>
      </c>
      <c r="Q49" s="350">
        <f t="shared" ref="Q49:Q54" si="13">(K49*12.011)+(L49*1.008)+(N49*15.999)+(14.007*M49)+(O49*30.974)+(P49*32.066)</f>
        <v>1351.854</v>
      </c>
      <c r="R49" s="351" t="s">
        <v>135</v>
      </c>
      <c r="S49" s="351">
        <f t="shared" si="8"/>
        <v>1351.854</v>
      </c>
      <c r="T49" s="351">
        <f t="shared" si="3"/>
        <v>7.0562690117561218</v>
      </c>
      <c r="U49" s="351"/>
      <c r="V49" s="351">
        <f t="shared" si="9"/>
        <v>9.5687347827480077E-3</v>
      </c>
      <c r="W49" s="352">
        <f t="shared" si="10"/>
        <v>7.8206005435921212E-4</v>
      </c>
      <c r="X49" s="353">
        <f t="shared" si="11"/>
        <v>5.7850925792224026E-4</v>
      </c>
      <c r="Y49" s="351"/>
      <c r="Z49" s="351"/>
      <c r="AA49" s="351"/>
      <c r="AB49" s="351"/>
      <c r="AC49" s="350"/>
      <c r="AD49" s="350">
        <f t="shared" si="6"/>
        <v>7.8206005435921223E-4</v>
      </c>
      <c r="AE49" s="350"/>
      <c r="AF49" s="354"/>
    </row>
    <row r="50" spans="2:32" x14ac:dyDescent="0.25">
      <c r="B50" s="357"/>
      <c r="C50" s="355" t="s">
        <v>120</v>
      </c>
      <c r="D50" s="353"/>
      <c r="E50" s="350">
        <f>'Lipids '!D45</f>
        <v>2.5927953005516091E-2</v>
      </c>
      <c r="F50" s="349">
        <f t="shared" si="0"/>
        <v>2.873645591336454E-3</v>
      </c>
      <c r="G50" s="350" t="s">
        <v>34</v>
      </c>
      <c r="H50" s="350" t="s">
        <v>138</v>
      </c>
      <c r="I50" s="350" t="s">
        <v>150</v>
      </c>
      <c r="J50" s="350" t="s">
        <v>159</v>
      </c>
      <c r="K50" s="350">
        <v>73</v>
      </c>
      <c r="L50" s="350">
        <v>132</v>
      </c>
      <c r="M50" s="350">
        <v>0</v>
      </c>
      <c r="N50" s="350">
        <v>17</v>
      </c>
      <c r="O50" s="350">
        <v>2</v>
      </c>
      <c r="P50" s="350">
        <v>0</v>
      </c>
      <c r="Q50" s="350">
        <f t="shared" si="13"/>
        <v>1343.7900000000002</v>
      </c>
      <c r="R50" s="351" t="s">
        <v>135</v>
      </c>
      <c r="S50" s="351">
        <f t="shared" si="8"/>
        <v>1343.7900000000002</v>
      </c>
      <c r="T50" s="351">
        <f t="shared" si="3"/>
        <v>34.841723969282477</v>
      </c>
      <c r="U50" s="351"/>
      <c r="V50" s="351">
        <f t="shared" si="9"/>
        <v>4.7247520677050521E-2</v>
      </c>
      <c r="W50" s="352">
        <f t="shared" si="10"/>
        <v>3.861576209182014E-3</v>
      </c>
      <c r="X50" s="353">
        <f t="shared" si="11"/>
        <v>2.873645591336454E-3</v>
      </c>
      <c r="Y50" s="351"/>
      <c r="Z50" s="351"/>
      <c r="AA50" s="351"/>
      <c r="AB50" s="351"/>
      <c r="AC50" s="350"/>
      <c r="AD50" s="350">
        <f t="shared" si="6"/>
        <v>3.861576209182014E-3</v>
      </c>
      <c r="AE50" s="350"/>
      <c r="AF50" s="354"/>
    </row>
    <row r="51" spans="2:32" x14ac:dyDescent="0.25">
      <c r="B51" s="357"/>
      <c r="C51" s="355"/>
      <c r="D51" s="353"/>
      <c r="E51" s="350">
        <f>'Lipids '!D46</f>
        <v>1.1816931710072769E-2</v>
      </c>
      <c r="F51" s="349">
        <f>X51</f>
        <v>1.3096935845475408E-3</v>
      </c>
      <c r="G51" s="350" t="s">
        <v>35</v>
      </c>
      <c r="H51" s="350" t="s">
        <v>138</v>
      </c>
      <c r="I51" s="350" t="s">
        <v>150</v>
      </c>
      <c r="J51" s="350" t="s">
        <v>160</v>
      </c>
      <c r="K51" s="350">
        <v>81</v>
      </c>
      <c r="L51" s="350">
        <v>148</v>
      </c>
      <c r="M51" s="350">
        <v>0</v>
      </c>
      <c r="N51" s="350">
        <v>17</v>
      </c>
      <c r="O51" s="350">
        <v>2</v>
      </c>
      <c r="P51" s="350">
        <v>0</v>
      </c>
      <c r="Q51" s="350">
        <f t="shared" si="13"/>
        <v>1456.0060000000001</v>
      </c>
      <c r="R51" s="351" t="s">
        <v>135</v>
      </c>
      <c r="S51" s="351">
        <f>Q51</f>
        <v>1456.0060000000001</v>
      </c>
      <c r="T51" s="351">
        <f>E51*S51</f>
        <v>17.205523471456214</v>
      </c>
      <c r="U51" s="351"/>
      <c r="V51" s="351">
        <f t="shared" si="9"/>
        <v>2.3331748070038068E-2</v>
      </c>
      <c r="W51" s="352">
        <f t="shared" si="10"/>
        <v>1.9069217172627269E-3</v>
      </c>
      <c r="X51" s="353">
        <f>W51/S51*1000</f>
        <v>1.3096935845475408E-3</v>
      </c>
      <c r="Y51" s="351"/>
      <c r="Z51" s="351"/>
      <c r="AA51" s="351"/>
      <c r="AB51" s="351"/>
      <c r="AC51" s="350"/>
      <c r="AD51" s="350">
        <f t="shared" si="6"/>
        <v>1.9069217172627269E-3</v>
      </c>
      <c r="AE51" s="350"/>
      <c r="AF51" s="354"/>
    </row>
    <row r="52" spans="2:32" x14ac:dyDescent="0.25">
      <c r="B52" s="348"/>
      <c r="C52" s="355" t="s">
        <v>120</v>
      </c>
      <c r="D52" s="347"/>
      <c r="E52" s="350">
        <f>'Lipids '!D47</f>
        <v>1.7368698961060462E-3</v>
      </c>
      <c r="F52" s="347">
        <f>X52</f>
        <v>1.9250067749691969E-4</v>
      </c>
      <c r="G52" s="350" t="s">
        <v>36</v>
      </c>
      <c r="H52" s="350" t="s">
        <v>138</v>
      </c>
      <c r="I52" s="350" t="s">
        <v>150</v>
      </c>
      <c r="J52" s="347" t="s">
        <v>440</v>
      </c>
      <c r="K52" s="347">
        <v>81</v>
      </c>
      <c r="L52" s="347">
        <v>156</v>
      </c>
      <c r="M52" s="347">
        <v>0</v>
      </c>
      <c r="N52" s="347">
        <v>17</v>
      </c>
      <c r="O52" s="347">
        <v>2</v>
      </c>
      <c r="P52" s="347">
        <v>0</v>
      </c>
      <c r="Q52" s="347">
        <f t="shared" si="13"/>
        <v>1464.07</v>
      </c>
      <c r="R52" s="351" t="s">
        <v>135</v>
      </c>
      <c r="S52" s="347">
        <f>Q52</f>
        <v>1464.07</v>
      </c>
      <c r="T52" s="347">
        <f>E52*S52</f>
        <v>2.5428991087919788</v>
      </c>
      <c r="U52" s="347"/>
      <c r="V52" s="347">
        <f t="shared" si="9"/>
        <v>3.4483275950474334E-3</v>
      </c>
      <c r="W52" s="347">
        <f t="shared" si="10"/>
        <v>2.8183446690291521E-4</v>
      </c>
      <c r="X52" s="347">
        <f>W52/S52*1000</f>
        <v>1.9250067749691969E-4</v>
      </c>
      <c r="Y52" s="351"/>
      <c r="Z52" s="351"/>
      <c r="AA52" s="351"/>
      <c r="AB52" s="351"/>
      <c r="AC52" s="351"/>
      <c r="AD52" s="350">
        <f t="shared" si="6"/>
        <v>2.8183446690291521E-4</v>
      </c>
      <c r="AE52" s="351"/>
      <c r="AF52" s="351"/>
    </row>
    <row r="53" spans="2:32" x14ac:dyDescent="0.25">
      <c r="B53" s="348"/>
      <c r="C53" s="355"/>
      <c r="D53" s="347"/>
      <c r="E53" s="350">
        <f>'Lipids '!D48</f>
        <v>3.7063203683112946E-3</v>
      </c>
      <c r="F53" s="347">
        <f t="shared" ref="F53:F54" si="14">X53</f>
        <v>4.1077871377707145E-4</v>
      </c>
      <c r="G53" s="350" t="s">
        <v>495</v>
      </c>
      <c r="H53" s="350" t="s">
        <v>70</v>
      </c>
      <c r="I53" s="350" t="s">
        <v>150</v>
      </c>
      <c r="J53" s="347" t="s">
        <v>496</v>
      </c>
      <c r="K53" s="347">
        <v>39</v>
      </c>
      <c r="L53" s="347">
        <v>74</v>
      </c>
      <c r="M53" s="347">
        <v>1</v>
      </c>
      <c r="N53" s="347">
        <v>8</v>
      </c>
      <c r="O53" s="347">
        <v>1</v>
      </c>
      <c r="P53" s="347">
        <v>0</v>
      </c>
      <c r="Q53" s="347">
        <f t="shared" si="13"/>
        <v>715.99399999999991</v>
      </c>
      <c r="R53" s="351" t="s">
        <v>135</v>
      </c>
      <c r="S53" s="347">
        <f>Q53</f>
        <v>715.99399999999991</v>
      </c>
      <c r="T53" s="347">
        <f>E53*S53</f>
        <v>2.6537031457886768</v>
      </c>
      <c r="U53" s="347"/>
      <c r="V53" s="347">
        <f t="shared" si="9"/>
        <v>3.5985846843268757E-3</v>
      </c>
      <c r="W53" s="347">
        <f t="shared" si="10"/>
        <v>2.9411509439210043E-4</v>
      </c>
      <c r="X53" s="347">
        <f>W53/S53*1000</f>
        <v>4.1077871377707145E-4</v>
      </c>
      <c r="Y53" s="351"/>
      <c r="Z53" s="358"/>
      <c r="AA53" s="351"/>
      <c r="AB53" s="352"/>
      <c r="AC53" s="350"/>
      <c r="AD53" s="350">
        <f t="shared" si="6"/>
        <v>2.9411509439210048E-4</v>
      </c>
      <c r="AE53" s="350"/>
      <c r="AF53" s="354"/>
    </row>
    <row r="54" spans="2:32" ht="15.75" thickBot="1" x14ac:dyDescent="0.3">
      <c r="B54" s="348"/>
      <c r="C54" s="355"/>
      <c r="D54" s="347"/>
      <c r="E54" s="350">
        <f>'Lipids '!D49</f>
        <v>2.0476773647365616E-3</v>
      </c>
      <c r="F54" s="347">
        <f t="shared" si="14"/>
        <v>2.2694807532252161E-4</v>
      </c>
      <c r="G54" s="350" t="s">
        <v>494</v>
      </c>
      <c r="H54" s="350" t="s">
        <v>70</v>
      </c>
      <c r="I54" s="350" t="s">
        <v>150</v>
      </c>
      <c r="J54" s="347" t="s">
        <v>497</v>
      </c>
      <c r="K54" s="347">
        <v>40</v>
      </c>
      <c r="L54" s="347">
        <v>74</v>
      </c>
      <c r="M54" s="347">
        <v>0</v>
      </c>
      <c r="N54" s="347">
        <v>10</v>
      </c>
      <c r="O54" s="347">
        <v>1</v>
      </c>
      <c r="P54" s="347">
        <v>0</v>
      </c>
      <c r="Q54" s="347">
        <f t="shared" si="13"/>
        <v>745.99599999999998</v>
      </c>
      <c r="R54" s="351" t="s">
        <v>135</v>
      </c>
      <c r="S54" s="347">
        <f>Q54</f>
        <v>745.99599999999998</v>
      </c>
      <c r="T54" s="347">
        <f>E54*S54</f>
        <v>1.527559123384016</v>
      </c>
      <c r="U54" s="347"/>
      <c r="V54" s="347">
        <f t="shared" si="9"/>
        <v>2.071464125343904E-3</v>
      </c>
      <c r="W54" s="347">
        <f t="shared" si="10"/>
        <v>1.6930235639829984E-4</v>
      </c>
      <c r="X54" s="347">
        <f>W54/S54*1000</f>
        <v>2.2694807532252161E-4</v>
      </c>
      <c r="Y54" s="351"/>
      <c r="Z54" s="358">
        <f>SUM(X39:X53)</f>
        <v>0.11032409140964003</v>
      </c>
      <c r="AA54" s="351" t="s">
        <v>150</v>
      </c>
      <c r="AB54" s="352">
        <f>SUM(W39:W53)</f>
        <v>8.2306718792064193E-2</v>
      </c>
      <c r="AC54" s="350"/>
      <c r="AD54" s="350"/>
      <c r="AE54" s="350"/>
      <c r="AF54" s="354">
        <f>SUM(AD39:AD54)</f>
        <v>8.2306718792064193E-2</v>
      </c>
    </row>
    <row r="55" spans="2:32" ht="15.75" thickBot="1" x14ac:dyDescent="0.3">
      <c r="B55" s="143"/>
      <c r="C55" s="313" t="s">
        <v>161</v>
      </c>
      <c r="D55" s="346">
        <f>'Macromolecular Composition'!D10</f>
        <v>9.6153846153846159E-3</v>
      </c>
      <c r="E55" s="144">
        <f>Ions!G4</f>
        <v>0.70532915360501569</v>
      </c>
      <c r="F55" s="115">
        <f t="shared" si="0"/>
        <v>0.158509837324806</v>
      </c>
      <c r="G55" s="114" t="s">
        <v>162</v>
      </c>
      <c r="H55" s="114" t="s">
        <v>70</v>
      </c>
      <c r="I55" s="114" t="s">
        <v>161</v>
      </c>
      <c r="J55" s="114" t="s">
        <v>163</v>
      </c>
      <c r="K55" s="114"/>
      <c r="L55" s="114"/>
      <c r="M55" s="114"/>
      <c r="N55" s="114"/>
      <c r="O55" s="114"/>
      <c r="P55" s="114"/>
      <c r="Q55" s="114">
        <v>38.963700000000003</v>
      </c>
      <c r="R55" s="145" t="s">
        <v>135</v>
      </c>
      <c r="S55" s="145">
        <f>Q55</f>
        <v>38.963700000000003</v>
      </c>
      <c r="T55" s="145">
        <f t="shared" si="3"/>
        <v>27.482233542319751</v>
      </c>
      <c r="U55" s="145">
        <f>SUM(T55:T70)</f>
        <v>42.786057993730402</v>
      </c>
      <c r="V55" s="145">
        <f>T55/$U$55</f>
        <v>0.64231749385154446</v>
      </c>
      <c r="W55" s="118">
        <f>V55*$D$55</f>
        <v>6.1761297485725432E-3</v>
      </c>
      <c r="X55" s="119">
        <f>W55/S55*1000</f>
        <v>0.158509837324806</v>
      </c>
      <c r="Y55" s="145"/>
      <c r="Z55" s="146"/>
      <c r="AA55" s="114"/>
      <c r="AB55" s="114"/>
      <c r="AC55" s="114"/>
      <c r="AD55" s="114">
        <f t="shared" si="6"/>
        <v>6.176129748572544E-3</v>
      </c>
      <c r="AE55" s="114"/>
      <c r="AF55" s="121"/>
    </row>
    <row r="56" spans="2:32" x14ac:dyDescent="0.25">
      <c r="B56" s="143"/>
      <c r="C56" s="120" t="s">
        <v>120</v>
      </c>
      <c r="D56" s="119"/>
      <c r="E56" s="144">
        <f>Ions!G18</f>
        <v>4.7021943573667714E-2</v>
      </c>
      <c r="F56" s="115">
        <f t="shared" si="0"/>
        <v>1.0567322488320399E-2</v>
      </c>
      <c r="G56" s="114" t="s">
        <v>164</v>
      </c>
      <c r="H56" s="114" t="s">
        <v>70</v>
      </c>
      <c r="I56" s="114" t="s">
        <v>161</v>
      </c>
      <c r="J56" s="114" t="s">
        <v>165</v>
      </c>
      <c r="K56" s="114">
        <v>0</v>
      </c>
      <c r="L56" s="114">
        <v>4</v>
      </c>
      <c r="M56" s="114">
        <v>1</v>
      </c>
      <c r="N56" s="114">
        <v>0</v>
      </c>
      <c r="O56" s="114">
        <v>0</v>
      </c>
      <c r="P56" s="114">
        <v>0</v>
      </c>
      <c r="Q56" s="114">
        <f>(K56*12.011)+(L56*1.008)+(N56*15.999)+(14.007*M56)+(O56*30.974)+(P56*32.066)</f>
        <v>18.039000000000001</v>
      </c>
      <c r="R56" s="145" t="s">
        <v>135</v>
      </c>
      <c r="S56" s="145">
        <f t="shared" ref="S56:S70" si="15">Q56</f>
        <v>18.039000000000001</v>
      </c>
      <c r="T56" s="145">
        <f t="shared" si="3"/>
        <v>0.84822884012539201</v>
      </c>
      <c r="U56" s="145"/>
      <c r="V56" s="145">
        <f t="shared" ref="V56:V70" si="16">T56/$U$55</f>
        <v>1.9824888758148414E-2</v>
      </c>
      <c r="W56" s="118">
        <f t="shared" ref="W56:W70" si="17">V56*$D$55</f>
        <v>1.9062393036681168E-4</v>
      </c>
      <c r="X56" s="119">
        <f t="shared" ref="X56:X70" si="18">W56/S56*1000</f>
        <v>1.0567322488320399E-2</v>
      </c>
      <c r="Y56" s="145"/>
      <c r="Z56" s="146"/>
      <c r="AA56" s="145"/>
      <c r="AB56" s="146"/>
      <c r="AC56" s="114"/>
      <c r="AD56" s="114">
        <f t="shared" si="6"/>
        <v>1.906239303668117E-4</v>
      </c>
      <c r="AE56" s="114"/>
      <c r="AF56" s="121"/>
    </row>
    <row r="57" spans="2:32" x14ac:dyDescent="0.25">
      <c r="B57" s="143"/>
      <c r="C57" s="120" t="s">
        <v>120</v>
      </c>
      <c r="D57" s="119"/>
      <c r="E57" s="144">
        <f>Ions!G7</f>
        <v>3.1347962382445138E-2</v>
      </c>
      <c r="F57" s="115">
        <f t="shared" si="0"/>
        <v>7.0448816588802657E-3</v>
      </c>
      <c r="G57" s="114" t="s">
        <v>166</v>
      </c>
      <c r="H57" s="114" t="s">
        <v>70</v>
      </c>
      <c r="I57" s="114" t="s">
        <v>161</v>
      </c>
      <c r="J57" s="114" t="s">
        <v>167</v>
      </c>
      <c r="K57" s="114"/>
      <c r="L57" s="114"/>
      <c r="M57" s="114"/>
      <c r="N57" s="114"/>
      <c r="O57" s="114"/>
      <c r="P57" s="114"/>
      <c r="Q57" s="114">
        <v>23.984999999999999</v>
      </c>
      <c r="R57" s="145" t="s">
        <v>135</v>
      </c>
      <c r="S57" s="145">
        <f t="shared" si="15"/>
        <v>23.984999999999999</v>
      </c>
      <c r="T57" s="145">
        <f t="shared" si="3"/>
        <v>0.75188087774294665</v>
      </c>
      <c r="U57" s="145"/>
      <c r="V57" s="145">
        <f t="shared" si="16"/>
        <v>1.7573034605177288E-2</v>
      </c>
      <c r="W57" s="118">
        <f t="shared" si="17"/>
        <v>1.6897148658824316E-4</v>
      </c>
      <c r="X57" s="119">
        <f t="shared" si="18"/>
        <v>7.0448816588802657E-3</v>
      </c>
      <c r="Y57" s="145"/>
      <c r="Z57" s="146"/>
      <c r="AA57" s="145"/>
      <c r="AB57" s="146"/>
      <c r="AC57" s="114"/>
      <c r="AD57" s="114">
        <f t="shared" si="6"/>
        <v>1.6897148658824319E-4</v>
      </c>
      <c r="AE57" s="114"/>
      <c r="AF57" s="121"/>
    </row>
    <row r="58" spans="2:32" x14ac:dyDescent="0.25">
      <c r="B58" s="143"/>
      <c r="C58" s="120" t="s">
        <v>120</v>
      </c>
      <c r="D58" s="119"/>
      <c r="E58" s="144">
        <f>Ions!G9</f>
        <v>1.8808777429467086E-2</v>
      </c>
      <c r="F58" s="115">
        <f t="shared" si="0"/>
        <v>4.2269289953281589E-3</v>
      </c>
      <c r="G58" s="114" t="s">
        <v>168</v>
      </c>
      <c r="H58" s="114" t="s">
        <v>70</v>
      </c>
      <c r="I58" s="114" t="s">
        <v>161</v>
      </c>
      <c r="J58" s="114" t="s">
        <v>169</v>
      </c>
      <c r="K58" s="114"/>
      <c r="L58" s="114"/>
      <c r="M58" s="114"/>
      <c r="N58" s="114"/>
      <c r="O58" s="114"/>
      <c r="P58" s="114"/>
      <c r="Q58" s="114">
        <v>39.962600000000002</v>
      </c>
      <c r="R58" s="145" t="s">
        <v>135</v>
      </c>
      <c r="S58" s="145">
        <f t="shared" si="15"/>
        <v>39.962600000000002</v>
      </c>
      <c r="T58" s="145">
        <f t="shared" si="3"/>
        <v>0.75164764890282143</v>
      </c>
      <c r="U58" s="145"/>
      <c r="V58" s="145">
        <f t="shared" si="16"/>
        <v>1.7567583557544914E-2</v>
      </c>
      <c r="W58" s="118">
        <f t="shared" si="17"/>
        <v>1.6891907266870109E-4</v>
      </c>
      <c r="X58" s="119">
        <f t="shared" si="18"/>
        <v>4.2269289953281589E-3</v>
      </c>
      <c r="Y58" s="145"/>
      <c r="Z58" s="146"/>
      <c r="AA58" s="145"/>
      <c r="AB58" s="146"/>
      <c r="AC58" s="114"/>
      <c r="AD58" s="114">
        <f t="shared" si="6"/>
        <v>1.6891907266870109E-4</v>
      </c>
      <c r="AE58" s="114"/>
      <c r="AF58" s="121"/>
    </row>
    <row r="59" spans="2:32" x14ac:dyDescent="0.25">
      <c r="B59" s="143"/>
      <c r="C59" s="120" t="s">
        <v>120</v>
      </c>
      <c r="D59" s="119"/>
      <c r="E59" s="144">
        <f>Ions!G5</f>
        <v>2.8213166144200628E-2</v>
      </c>
      <c r="F59" s="115">
        <f t="shared" si="0"/>
        <v>6.3403934929922396E-3</v>
      </c>
      <c r="G59" s="114" t="s">
        <v>170</v>
      </c>
      <c r="H59" s="114" t="s">
        <v>70</v>
      </c>
      <c r="I59" s="114" t="s">
        <v>161</v>
      </c>
      <c r="J59" s="114" t="s">
        <v>171</v>
      </c>
      <c r="K59" s="114"/>
      <c r="L59" s="114"/>
      <c r="M59" s="114"/>
      <c r="N59" s="114"/>
      <c r="O59" s="114"/>
      <c r="P59" s="114"/>
      <c r="Q59" s="114">
        <v>55.934899999999999</v>
      </c>
      <c r="R59" s="145" t="s">
        <v>135</v>
      </c>
      <c r="S59" s="145">
        <f t="shared" si="15"/>
        <v>55.934899999999999</v>
      </c>
      <c r="T59" s="145">
        <f t="shared" si="3"/>
        <v>1.5781006269592477</v>
      </c>
      <c r="U59" s="145"/>
      <c r="V59" s="145">
        <f t="shared" si="16"/>
        <v>3.6883524703081844E-2</v>
      </c>
      <c r="W59" s="118">
        <f t="shared" si="17"/>
        <v>3.5464927599117161E-4</v>
      </c>
      <c r="X59" s="119">
        <f t="shared" si="18"/>
        <v>6.3403934929922396E-3</v>
      </c>
      <c r="Y59" s="145"/>
      <c r="Z59" s="146"/>
      <c r="AA59" s="145"/>
      <c r="AB59" s="146"/>
      <c r="AC59" s="114"/>
      <c r="AD59" s="114">
        <f t="shared" si="6"/>
        <v>3.5464927599117161E-4</v>
      </c>
      <c r="AE59" s="114"/>
      <c r="AF59" s="121"/>
    </row>
    <row r="60" spans="2:32" x14ac:dyDescent="0.25">
      <c r="B60" s="143"/>
      <c r="C60" s="120" t="s">
        <v>120</v>
      </c>
      <c r="D60" s="119"/>
      <c r="E60" s="144">
        <f>Ions!G6</f>
        <v>2.8213166144200628E-2</v>
      </c>
      <c r="F60" s="115">
        <f t="shared" si="0"/>
        <v>6.3403934929922396E-3</v>
      </c>
      <c r="G60" s="114" t="s">
        <v>172</v>
      </c>
      <c r="H60" s="114" t="s">
        <v>70</v>
      </c>
      <c r="I60" s="114" t="s">
        <v>161</v>
      </c>
      <c r="J60" s="114" t="s">
        <v>171</v>
      </c>
      <c r="K60" s="114"/>
      <c r="L60" s="114"/>
      <c r="M60" s="114"/>
      <c r="N60" s="114"/>
      <c r="O60" s="114"/>
      <c r="P60" s="114"/>
      <c r="Q60" s="114">
        <v>55.934899999999999</v>
      </c>
      <c r="R60" s="145" t="s">
        <v>135</v>
      </c>
      <c r="S60" s="145">
        <f t="shared" si="15"/>
        <v>55.934899999999999</v>
      </c>
      <c r="T60" s="145">
        <f t="shared" si="3"/>
        <v>1.5781006269592477</v>
      </c>
      <c r="U60" s="145"/>
      <c r="V60" s="145">
        <f t="shared" si="16"/>
        <v>3.6883524703081844E-2</v>
      </c>
      <c r="W60" s="118">
        <f t="shared" si="17"/>
        <v>3.5464927599117161E-4</v>
      </c>
      <c r="X60" s="119">
        <f t="shared" si="18"/>
        <v>6.3403934929922396E-3</v>
      </c>
      <c r="Y60" s="145"/>
      <c r="Z60" s="146"/>
      <c r="AA60" s="145"/>
      <c r="AB60" s="146"/>
      <c r="AC60" s="114"/>
      <c r="AD60" s="114">
        <f t="shared" si="6"/>
        <v>3.5464927599117161E-4</v>
      </c>
      <c r="AE60" s="114"/>
      <c r="AF60" s="121"/>
    </row>
    <row r="61" spans="2:32" x14ac:dyDescent="0.25">
      <c r="B61" s="143"/>
      <c r="C61" s="120" t="s">
        <v>120</v>
      </c>
      <c r="D61" s="119"/>
      <c r="E61" s="144">
        <f>Ions!G12</f>
        <v>1.2539184952978056E-2</v>
      </c>
      <c r="F61" s="115">
        <f t="shared" si="0"/>
        <v>2.8179526635521059E-3</v>
      </c>
      <c r="G61" s="114" t="s">
        <v>173</v>
      </c>
      <c r="H61" s="114" t="s">
        <v>70</v>
      </c>
      <c r="I61" s="114" t="s">
        <v>161</v>
      </c>
      <c r="J61" s="114" t="s">
        <v>174</v>
      </c>
      <c r="K61" s="114"/>
      <c r="L61" s="114"/>
      <c r="M61" s="114"/>
      <c r="N61" s="114"/>
      <c r="O61" s="114"/>
      <c r="P61" s="114"/>
      <c r="Q61" s="114">
        <v>63.545999999999999</v>
      </c>
      <c r="R61" s="145" t="s">
        <v>135</v>
      </c>
      <c r="S61" s="145">
        <f t="shared" si="15"/>
        <v>63.545999999999999</v>
      </c>
      <c r="T61" s="145">
        <f>E61*S61</f>
        <v>0.7968150470219435</v>
      </c>
      <c r="U61" s="145"/>
      <c r="V61" s="145">
        <f>T61/$U$55</f>
        <v>1.862324047564054E-2</v>
      </c>
      <c r="W61" s="118">
        <f t="shared" si="17"/>
        <v>1.7906961995808212E-4</v>
      </c>
      <c r="X61" s="119">
        <f>W61/S61*1000</f>
        <v>2.8179526635521059E-3</v>
      </c>
      <c r="Y61" s="145"/>
      <c r="Z61" s="146"/>
      <c r="AA61" s="145"/>
      <c r="AB61" s="146"/>
      <c r="AC61" s="114"/>
      <c r="AD61" s="114">
        <f t="shared" si="6"/>
        <v>1.7906961995808212E-4</v>
      </c>
      <c r="AE61" s="114"/>
      <c r="AF61" s="121"/>
    </row>
    <row r="62" spans="2:32" x14ac:dyDescent="0.25">
      <c r="B62" s="143"/>
      <c r="C62" s="120" t="s">
        <v>120</v>
      </c>
      <c r="D62" s="119"/>
      <c r="E62" s="144">
        <f>Ions!G13</f>
        <v>1.2539184952978056E-2</v>
      </c>
      <c r="F62" s="115">
        <f t="shared" si="0"/>
        <v>2.8179526635521059E-3</v>
      </c>
      <c r="G62" s="114" t="s">
        <v>175</v>
      </c>
      <c r="H62" s="114" t="s">
        <v>70</v>
      </c>
      <c r="I62" s="114" t="s">
        <v>161</v>
      </c>
      <c r="J62" s="114" t="s">
        <v>176</v>
      </c>
      <c r="K62" s="114"/>
      <c r="L62" s="114"/>
      <c r="M62" s="114"/>
      <c r="N62" s="114"/>
      <c r="O62" s="114"/>
      <c r="P62" s="114"/>
      <c r="Q62" s="114">
        <v>54.938000000000002</v>
      </c>
      <c r="R62" s="145" t="s">
        <v>135</v>
      </c>
      <c r="S62" s="145">
        <f t="shared" si="15"/>
        <v>54.938000000000002</v>
      </c>
      <c r="T62" s="145">
        <f t="shared" si="3"/>
        <v>0.68887774294670845</v>
      </c>
      <c r="U62" s="145"/>
      <c r="V62" s="145">
        <f t="shared" si="16"/>
        <v>1.6100519076743463E-2</v>
      </c>
      <c r="W62" s="118">
        <f t="shared" si="17"/>
        <v>1.548126834302256E-4</v>
      </c>
      <c r="X62" s="119">
        <f t="shared" si="18"/>
        <v>2.8179526635521059E-3</v>
      </c>
      <c r="Y62" s="145"/>
      <c r="Z62" s="146"/>
      <c r="AA62" s="145"/>
      <c r="AB62" s="146"/>
      <c r="AC62" s="114"/>
      <c r="AD62" s="114">
        <f t="shared" si="6"/>
        <v>1.548126834302256E-4</v>
      </c>
      <c r="AE62" s="114"/>
      <c r="AF62" s="121"/>
    </row>
    <row r="63" spans="2:32" x14ac:dyDescent="0.25">
      <c r="B63" s="143"/>
      <c r="C63" s="120" t="s">
        <v>120</v>
      </c>
      <c r="D63" s="119"/>
      <c r="E63" s="144">
        <f>Ions!G14</f>
        <v>1.2539184952978056E-2</v>
      </c>
      <c r="F63" s="115">
        <f t="shared" si="0"/>
        <v>2.8179526635521055E-3</v>
      </c>
      <c r="G63" s="114" t="s">
        <v>177</v>
      </c>
      <c r="H63" s="114" t="s">
        <v>70</v>
      </c>
      <c r="I63" s="114" t="s">
        <v>161</v>
      </c>
      <c r="J63" s="114" t="s">
        <v>178</v>
      </c>
      <c r="K63" s="114"/>
      <c r="L63" s="114"/>
      <c r="M63" s="114"/>
      <c r="N63" s="114"/>
      <c r="O63" s="114"/>
      <c r="P63" s="114"/>
      <c r="Q63" s="114">
        <v>159.94</v>
      </c>
      <c r="R63" s="145" t="s">
        <v>135</v>
      </c>
      <c r="S63" s="145">
        <f t="shared" si="15"/>
        <v>159.94</v>
      </c>
      <c r="T63" s="145">
        <f t="shared" si="3"/>
        <v>2.0055172413793101</v>
      </c>
      <c r="U63" s="145"/>
      <c r="V63" s="145">
        <f>T63/$U$55</f>
        <v>4.687314829688647E-2</v>
      </c>
      <c r="W63" s="118">
        <f t="shared" si="17"/>
        <v>4.5070334900852379E-4</v>
      </c>
      <c r="X63" s="119">
        <f t="shared" si="18"/>
        <v>2.8179526635521055E-3</v>
      </c>
      <c r="Y63" s="145"/>
      <c r="Z63" s="146"/>
      <c r="AA63" s="145"/>
      <c r="AB63" s="146"/>
      <c r="AC63" s="114"/>
      <c r="AD63" s="114">
        <f t="shared" si="6"/>
        <v>4.5070334900852379E-4</v>
      </c>
      <c r="AE63" s="114"/>
      <c r="AF63" s="121"/>
    </row>
    <row r="64" spans="2:32" x14ac:dyDescent="0.25">
      <c r="B64" s="143"/>
      <c r="C64" s="120" t="s">
        <v>120</v>
      </c>
      <c r="D64" s="119"/>
      <c r="E64" s="144">
        <f>Ions!G17</f>
        <v>1.2539184952978056E-2</v>
      </c>
      <c r="F64" s="115">
        <f t="shared" si="0"/>
        <v>2.8179526635521059E-3</v>
      </c>
      <c r="G64" s="114" t="s">
        <v>179</v>
      </c>
      <c r="H64" s="114" t="s">
        <v>70</v>
      </c>
      <c r="I64" s="114" t="s">
        <v>161</v>
      </c>
      <c r="J64" s="114" t="s">
        <v>180</v>
      </c>
      <c r="K64" s="114"/>
      <c r="L64" s="114"/>
      <c r="M64" s="114"/>
      <c r="N64" s="114"/>
      <c r="O64" s="114"/>
      <c r="P64" s="114"/>
      <c r="Q64" s="114">
        <v>58.933199999999999</v>
      </c>
      <c r="R64" s="145" t="s">
        <v>135</v>
      </c>
      <c r="S64" s="145">
        <f t="shared" si="15"/>
        <v>58.933199999999999</v>
      </c>
      <c r="T64" s="145">
        <f t="shared" ref="T64:T70" si="19">E64*S64</f>
        <v>0.73897429467084641</v>
      </c>
      <c r="U64" s="145"/>
      <c r="V64" s="145">
        <f t="shared" si="16"/>
        <v>1.7271380662811493E-2</v>
      </c>
      <c r="W64" s="118">
        <f t="shared" si="17"/>
        <v>1.6607096791164898E-4</v>
      </c>
      <c r="X64" s="119">
        <f t="shared" si="18"/>
        <v>2.8179526635521059E-3</v>
      </c>
      <c r="Y64" s="145"/>
      <c r="Z64" s="146"/>
      <c r="AA64" s="145"/>
      <c r="AB64" s="146"/>
      <c r="AC64" s="114"/>
      <c r="AD64" s="114">
        <f t="shared" si="6"/>
        <v>1.6607096791164896E-4</v>
      </c>
      <c r="AE64" s="114"/>
      <c r="AF64" s="121"/>
    </row>
    <row r="65" spans="2:32" x14ac:dyDescent="0.25">
      <c r="B65" s="143"/>
      <c r="C65" s="120" t="s">
        <v>120</v>
      </c>
      <c r="D65" s="119"/>
      <c r="E65" s="144">
        <f>Ions!G15</f>
        <v>1.2539184952978056E-2</v>
      </c>
      <c r="F65" s="115">
        <f t="shared" si="0"/>
        <v>2.8179526635521059E-3</v>
      </c>
      <c r="G65" s="114" t="s">
        <v>181</v>
      </c>
      <c r="H65" s="114" t="s">
        <v>70</v>
      </c>
      <c r="I65" s="114" t="s">
        <v>161</v>
      </c>
      <c r="J65" s="114" t="s">
        <v>182</v>
      </c>
      <c r="K65" s="114"/>
      <c r="L65" s="114"/>
      <c r="M65" s="114"/>
      <c r="N65" s="114"/>
      <c r="O65" s="114"/>
      <c r="P65" s="114"/>
      <c r="Q65" s="114">
        <v>63.929099999999998</v>
      </c>
      <c r="R65" s="145" t="s">
        <v>135</v>
      </c>
      <c r="S65" s="145">
        <f t="shared" si="15"/>
        <v>63.929099999999998</v>
      </c>
      <c r="T65" s="145">
        <f t="shared" si="19"/>
        <v>0.80161880877742941</v>
      </c>
      <c r="U65" s="145"/>
      <c r="V65" s="145">
        <f t="shared" si="16"/>
        <v>1.873551447284285E-2</v>
      </c>
      <c r="W65" s="118">
        <f t="shared" si="17"/>
        <v>1.8014917762348894E-4</v>
      </c>
      <c r="X65" s="119">
        <f t="shared" si="18"/>
        <v>2.8179526635521059E-3</v>
      </c>
      <c r="Y65" s="145"/>
      <c r="Z65" s="146"/>
      <c r="AA65" s="145"/>
      <c r="AB65" s="146"/>
      <c r="AC65" s="114"/>
      <c r="AD65" s="114">
        <f t="shared" si="6"/>
        <v>1.8014917762348891E-4</v>
      </c>
      <c r="AE65" s="114"/>
      <c r="AF65" s="121"/>
    </row>
    <row r="66" spans="2:32" x14ac:dyDescent="0.25">
      <c r="B66" s="143"/>
      <c r="C66" s="120" t="s">
        <v>120</v>
      </c>
      <c r="D66" s="119"/>
      <c r="E66" s="144">
        <f>Ions!G8</f>
        <v>1.8808777429467086E-2</v>
      </c>
      <c r="F66" s="115">
        <f t="shared" si="0"/>
        <v>4.2269289953281598E-3</v>
      </c>
      <c r="G66" s="114" t="s">
        <v>183</v>
      </c>
      <c r="H66" s="114" t="s">
        <v>70</v>
      </c>
      <c r="I66" s="114" t="s">
        <v>161</v>
      </c>
      <c r="J66" s="114" t="s">
        <v>184</v>
      </c>
      <c r="K66" s="114"/>
      <c r="L66" s="114"/>
      <c r="M66" s="114"/>
      <c r="N66" s="114"/>
      <c r="O66" s="114"/>
      <c r="P66" s="114"/>
      <c r="Q66" s="114">
        <v>34.968899999999998</v>
      </c>
      <c r="R66" s="145" t="s">
        <v>135</v>
      </c>
      <c r="S66" s="145">
        <f t="shared" si="15"/>
        <v>34.968899999999998</v>
      </c>
      <c r="T66" s="145">
        <f t="shared" si="19"/>
        <v>0.65772225705329157</v>
      </c>
      <c r="U66" s="145"/>
      <c r="V66" s="145">
        <f t="shared" si="16"/>
        <v>1.5372349963852011E-2</v>
      </c>
      <c r="W66" s="118">
        <f t="shared" si="17"/>
        <v>1.4781105734473088E-4</v>
      </c>
      <c r="X66" s="119">
        <f t="shared" si="18"/>
        <v>4.2269289953281598E-3</v>
      </c>
      <c r="Y66" s="145"/>
      <c r="Z66" s="146"/>
      <c r="AA66" s="145"/>
      <c r="AB66" s="146"/>
      <c r="AC66" s="114"/>
      <c r="AD66" s="114">
        <f t="shared" si="6"/>
        <v>1.4781105734473088E-4</v>
      </c>
      <c r="AE66" s="114"/>
      <c r="AF66" s="121"/>
    </row>
    <row r="67" spans="2:32" x14ac:dyDescent="0.25">
      <c r="B67" s="143"/>
      <c r="C67" s="120"/>
      <c r="D67" s="119"/>
      <c r="E67" s="144">
        <f>Ions!G16</f>
        <v>1.2539184952978056E-2</v>
      </c>
      <c r="F67" s="115">
        <f t="shared" si="0"/>
        <v>2.8179526635521059E-3</v>
      </c>
      <c r="G67" s="114" t="s">
        <v>458</v>
      </c>
      <c r="H67" s="114" t="s">
        <v>70</v>
      </c>
      <c r="I67" s="114" t="s">
        <v>161</v>
      </c>
      <c r="J67" s="114" t="s">
        <v>461</v>
      </c>
      <c r="K67" s="114"/>
      <c r="L67" s="114"/>
      <c r="M67" s="114"/>
      <c r="N67" s="114"/>
      <c r="O67" s="114"/>
      <c r="P67" s="114"/>
      <c r="Q67" s="114">
        <v>58.693399999999997</v>
      </c>
      <c r="R67" s="145" t="s">
        <v>135</v>
      </c>
      <c r="S67" s="145">
        <f t="shared" si="15"/>
        <v>58.693399999999997</v>
      </c>
      <c r="T67" s="145">
        <f t="shared" si="19"/>
        <v>0.73596739811912215</v>
      </c>
      <c r="U67" s="145"/>
      <c r="V67" s="145">
        <f t="shared" si="16"/>
        <v>1.7201103177744634E-2</v>
      </c>
      <c r="W67" s="118">
        <f t="shared" si="17"/>
        <v>1.6539522286292919E-4</v>
      </c>
      <c r="X67" s="119">
        <f t="shared" si="18"/>
        <v>2.8179526635521059E-3</v>
      </c>
      <c r="Y67" s="145"/>
      <c r="Z67" s="146"/>
      <c r="AA67" s="145"/>
      <c r="AB67" s="146"/>
      <c r="AC67" s="114"/>
      <c r="AD67" s="114">
        <f t="shared" si="6"/>
        <v>1.6539522286292916E-4</v>
      </c>
      <c r="AE67" s="114"/>
      <c r="AF67" s="121"/>
    </row>
    <row r="68" spans="2:32" x14ac:dyDescent="0.25">
      <c r="B68" s="143"/>
      <c r="C68" s="120"/>
      <c r="D68" s="119"/>
      <c r="E68" s="144">
        <f>Ions!G10</f>
        <v>1.5673981191222569E-2</v>
      </c>
      <c r="F68" s="115">
        <f t="shared" si="0"/>
        <v>3.5224408294401324E-3</v>
      </c>
      <c r="G68" s="114" t="s">
        <v>462</v>
      </c>
      <c r="H68" s="114" t="s">
        <v>70</v>
      </c>
      <c r="I68" s="114" t="s">
        <v>161</v>
      </c>
      <c r="J68" s="114" t="s">
        <v>463</v>
      </c>
      <c r="K68" s="114"/>
      <c r="L68" s="114"/>
      <c r="M68" s="114"/>
      <c r="N68" s="114"/>
      <c r="O68" s="114"/>
      <c r="P68" s="114"/>
      <c r="Q68" s="114">
        <v>22.989799999999999</v>
      </c>
      <c r="R68" s="145" t="s">
        <v>135</v>
      </c>
      <c r="S68" s="145">
        <f t="shared" si="15"/>
        <v>22.989799999999999</v>
      </c>
      <c r="T68" s="145">
        <f t="shared" si="19"/>
        <v>0.36034169278996858</v>
      </c>
      <c r="U68" s="145"/>
      <c r="V68" s="145">
        <f t="shared" si="16"/>
        <v>8.4219418587889259E-3</v>
      </c>
      <c r="W68" s="118">
        <f t="shared" si="17"/>
        <v>8.0980210180662751E-5</v>
      </c>
      <c r="X68" s="119">
        <f t="shared" si="18"/>
        <v>3.5224408294401324E-3</v>
      </c>
      <c r="Y68" s="145"/>
      <c r="Z68" s="146"/>
      <c r="AA68" s="145"/>
      <c r="AB68" s="146"/>
      <c r="AC68" s="114"/>
      <c r="AD68" s="114">
        <f t="shared" si="6"/>
        <v>8.0980210180662751E-5</v>
      </c>
      <c r="AE68" s="114"/>
      <c r="AF68" s="121"/>
    </row>
    <row r="69" spans="2:32" x14ac:dyDescent="0.25">
      <c r="B69" s="143"/>
      <c r="C69" s="120" t="s">
        <v>120</v>
      </c>
      <c r="D69" s="119"/>
      <c r="E69" s="144">
        <f>Ions!G19</f>
        <v>1.5673981191222569E-2</v>
      </c>
      <c r="F69" s="115">
        <f t="shared" si="0"/>
        <v>3.522440829440132E-3</v>
      </c>
      <c r="G69" s="114" t="s">
        <v>185</v>
      </c>
      <c r="H69" s="114" t="s">
        <v>70</v>
      </c>
      <c r="I69" s="114" t="s">
        <v>161</v>
      </c>
      <c r="J69" s="114" t="s">
        <v>186</v>
      </c>
      <c r="K69" s="114">
        <v>0</v>
      </c>
      <c r="L69" s="114">
        <v>0</v>
      </c>
      <c r="M69" s="114">
        <v>0</v>
      </c>
      <c r="N69" s="114">
        <v>4</v>
      </c>
      <c r="O69" s="114">
        <v>0</v>
      </c>
      <c r="P69" s="114">
        <v>1</v>
      </c>
      <c r="Q69" s="114">
        <f>(K69*12.011)+(L69*1.008)+(N69*15.999)+(14.007*M69)+(O69*30.974)+(P69*32.066)</f>
        <v>96.062000000000012</v>
      </c>
      <c r="R69" s="145" t="s">
        <v>135</v>
      </c>
      <c r="S69" s="145">
        <f t="shared" si="15"/>
        <v>96.062000000000012</v>
      </c>
      <c r="T69" s="145">
        <f t="shared" si="19"/>
        <v>1.5056739811912225</v>
      </c>
      <c r="U69" s="145"/>
      <c r="V69" s="145">
        <f t="shared" si="16"/>
        <v>3.5190761939598511E-2</v>
      </c>
      <c r="W69" s="118">
        <f t="shared" si="17"/>
        <v>3.3837271095767802E-4</v>
      </c>
      <c r="X69" s="119">
        <f t="shared" si="18"/>
        <v>3.522440829440132E-3</v>
      </c>
      <c r="Y69" s="145"/>
      <c r="Z69" s="146"/>
      <c r="AA69" s="145"/>
      <c r="AB69" s="146"/>
      <c r="AC69" s="114"/>
      <c r="AD69" s="114">
        <f t="shared" si="6"/>
        <v>3.3837271095767802E-4</v>
      </c>
      <c r="AE69" s="114"/>
      <c r="AF69" s="121"/>
    </row>
    <row r="70" spans="2:32" ht="15.75" thickBot="1" x14ac:dyDescent="0.3">
      <c r="B70" s="143"/>
      <c r="C70" s="120" t="s">
        <v>120</v>
      </c>
      <c r="D70" s="119"/>
      <c r="E70" s="144">
        <f>Ions!G11</f>
        <v>1.5673981191222569E-2</v>
      </c>
      <c r="F70" s="115">
        <f t="shared" si="0"/>
        <v>3.5224408294401324E-3</v>
      </c>
      <c r="G70" s="114" t="s">
        <v>187</v>
      </c>
      <c r="H70" s="114" t="s">
        <v>70</v>
      </c>
      <c r="I70" s="114" t="s">
        <v>161</v>
      </c>
      <c r="J70" s="114" t="s">
        <v>188</v>
      </c>
      <c r="K70" s="114">
        <v>0</v>
      </c>
      <c r="L70" s="114">
        <v>1</v>
      </c>
      <c r="M70" s="114">
        <v>0</v>
      </c>
      <c r="N70" s="114">
        <v>4</v>
      </c>
      <c r="O70" s="114">
        <v>1</v>
      </c>
      <c r="P70" s="114">
        <v>0</v>
      </c>
      <c r="Q70" s="114">
        <f>(K70*12.011)+(L70*1.008)+(N70*15.999)+(14.007*M70)+(O70*30.974)+(P70*32.066)</f>
        <v>95.978000000000009</v>
      </c>
      <c r="R70" s="145" t="s">
        <v>135</v>
      </c>
      <c r="S70" s="145">
        <f t="shared" si="15"/>
        <v>95.978000000000009</v>
      </c>
      <c r="T70" s="145">
        <f t="shared" si="19"/>
        <v>1.5043573667711598</v>
      </c>
      <c r="U70" s="145"/>
      <c r="V70" s="145">
        <f t="shared" si="16"/>
        <v>3.5159989896512527E-2</v>
      </c>
      <c r="W70" s="118">
        <f t="shared" si="17"/>
        <v>3.3807682592800506E-4</v>
      </c>
      <c r="X70" s="119">
        <f t="shared" si="18"/>
        <v>3.5224408294401324E-3</v>
      </c>
      <c r="Y70" s="145"/>
      <c r="Z70" s="147">
        <f>SUM(X55:X70)</f>
        <v>0.22473172491828058</v>
      </c>
      <c r="AA70" s="145" t="s">
        <v>161</v>
      </c>
      <c r="AB70" s="118">
        <f>SUM(W55:W70)</f>
        <v>9.6153846153846159E-3</v>
      </c>
      <c r="AC70" s="114"/>
      <c r="AD70" s="114">
        <f t="shared" si="6"/>
        <v>3.38076825928005E-4</v>
      </c>
      <c r="AE70" s="114"/>
      <c r="AF70" s="121">
        <f>SUM(AD55:AD70)</f>
        <v>9.6153846153846177E-3</v>
      </c>
    </row>
    <row r="71" spans="2:32" ht="15.75" thickBot="1" x14ac:dyDescent="0.3">
      <c r="B71" s="390"/>
      <c r="C71" s="391" t="s">
        <v>189</v>
      </c>
      <c r="D71" s="392">
        <f>'Macromolecular Composition'!D11</f>
        <v>2.788461538461539E-2</v>
      </c>
      <c r="E71" s="393"/>
      <c r="F71" s="394">
        <f>'Soluble pool'!H5</f>
        <v>3.3270489076189416E-2</v>
      </c>
      <c r="G71" s="393" t="s">
        <v>190</v>
      </c>
      <c r="H71" s="393" t="s">
        <v>70</v>
      </c>
      <c r="I71" s="393" t="s">
        <v>191</v>
      </c>
      <c r="J71" s="393" t="s">
        <v>192</v>
      </c>
      <c r="K71" s="393">
        <v>4</v>
      </c>
      <c r="L71" s="393">
        <v>14</v>
      </c>
      <c r="M71" s="393">
        <v>2</v>
      </c>
      <c r="N71" s="393">
        <v>0</v>
      </c>
      <c r="O71" s="393">
        <v>0</v>
      </c>
      <c r="P71" s="393">
        <v>0</v>
      </c>
      <c r="Q71" s="393">
        <f>(K71*12.011)+(L71*1.008)+(N71*15.999)+(14.007*M71)+(O71*30.974)+(P71*32.066)</f>
        <v>90.17</v>
      </c>
      <c r="R71" s="395" t="s">
        <v>135</v>
      </c>
      <c r="S71" s="396">
        <f>Q71</f>
        <v>90.17</v>
      </c>
      <c r="T71" s="396"/>
      <c r="U71" s="396"/>
      <c r="V71" s="396"/>
      <c r="W71" s="397"/>
      <c r="X71" s="398"/>
      <c r="Y71" s="399"/>
      <c r="Z71" s="393"/>
      <c r="AA71" s="393"/>
      <c r="AB71" s="393"/>
      <c r="AC71" s="393"/>
      <c r="AD71" s="393">
        <f t="shared" si="6"/>
        <v>2.9999999999999996E-3</v>
      </c>
      <c r="AE71" s="393"/>
      <c r="AF71" s="400"/>
    </row>
    <row r="72" spans="2:32" x14ac:dyDescent="0.25">
      <c r="B72" s="390"/>
      <c r="C72" s="393"/>
      <c r="D72" s="398"/>
      <c r="E72" s="393"/>
      <c r="F72" s="394">
        <f>'Soluble pool'!H7</f>
        <v>2.7916666666666671E-4</v>
      </c>
      <c r="G72" s="393" t="s">
        <v>193</v>
      </c>
      <c r="H72" s="393" t="s">
        <v>70</v>
      </c>
      <c r="I72" s="393" t="s">
        <v>194</v>
      </c>
      <c r="J72" s="393" t="s">
        <v>195</v>
      </c>
      <c r="K72" s="393">
        <v>23</v>
      </c>
      <c r="L72" s="393">
        <v>34</v>
      </c>
      <c r="M72" s="393">
        <v>7</v>
      </c>
      <c r="N72" s="401">
        <v>17</v>
      </c>
      <c r="O72" s="401">
        <v>3</v>
      </c>
      <c r="P72" s="401">
        <v>1</v>
      </c>
      <c r="Q72" s="401">
        <f>(K72*12.011)+(L72*1.008)+(N72*15.999)+(14.007*M72)+(O72*30.974)+(P72*32.066)</f>
        <v>805.54500000000007</v>
      </c>
      <c r="R72" s="395" t="s">
        <v>135</v>
      </c>
      <c r="S72" s="396">
        <f t="shared" ref="S72:S105" si="20">Q72</f>
        <v>805.54500000000007</v>
      </c>
      <c r="T72" s="401"/>
      <c r="U72" s="401"/>
      <c r="V72" s="401"/>
      <c r="W72" s="399"/>
      <c r="X72" s="398"/>
      <c r="Y72" s="399"/>
      <c r="Z72" s="393"/>
      <c r="AA72" s="393"/>
      <c r="AB72" s="393"/>
      <c r="AC72" s="393"/>
      <c r="AD72" s="393">
        <f t="shared" si="6"/>
        <v>2.2488131250000007E-4</v>
      </c>
      <c r="AE72" s="393"/>
      <c r="AF72" s="400"/>
    </row>
    <row r="73" spans="2:32" x14ac:dyDescent="0.25">
      <c r="B73" s="390"/>
      <c r="C73" s="393"/>
      <c r="D73" s="398"/>
      <c r="E73" s="393"/>
      <c r="F73" s="394">
        <f>'Soluble pool'!H8</f>
        <v>1.6750000000000003E-4</v>
      </c>
      <c r="G73" s="393" t="s">
        <v>196</v>
      </c>
      <c r="H73" s="393" t="s">
        <v>70</v>
      </c>
      <c r="I73" s="393" t="s">
        <v>194</v>
      </c>
      <c r="J73" s="393" t="s">
        <v>197</v>
      </c>
      <c r="K73" s="393">
        <v>21</v>
      </c>
      <c r="L73" s="393">
        <v>32</v>
      </c>
      <c r="M73" s="393">
        <v>7</v>
      </c>
      <c r="N73" s="401">
        <v>16</v>
      </c>
      <c r="O73" s="401">
        <v>3</v>
      </c>
      <c r="P73" s="401">
        <v>1</v>
      </c>
      <c r="Q73" s="401">
        <f t="shared" ref="Q73:Q86" si="21">(K73*12.011)+(L73*1.008)+(N73*15.999)+(14.007*M73)+(O73*30.974)+(P73*32.066)</f>
        <v>763.50800000000004</v>
      </c>
      <c r="R73" s="395" t="s">
        <v>135</v>
      </c>
      <c r="S73" s="396">
        <f t="shared" si="20"/>
        <v>763.50800000000004</v>
      </c>
      <c r="T73" s="401"/>
      <c r="U73" s="401"/>
      <c r="V73" s="401"/>
      <c r="W73" s="399"/>
      <c r="X73" s="398"/>
      <c r="Y73" s="399"/>
      <c r="Z73" s="393"/>
      <c r="AA73" s="393"/>
      <c r="AB73" s="393"/>
      <c r="AC73" s="393"/>
      <c r="AD73" s="393">
        <f t="shared" si="6"/>
        <v>1.2788759000000003E-4</v>
      </c>
      <c r="AE73" s="393"/>
      <c r="AF73" s="400"/>
    </row>
    <row r="74" spans="2:32" x14ac:dyDescent="0.25">
      <c r="B74" s="390"/>
      <c r="C74" s="393"/>
      <c r="D74" s="398"/>
      <c r="E74" s="393"/>
      <c r="F74" s="394">
        <f>'Soluble pool'!H9</f>
        <v>9.8266666666666679E-5</v>
      </c>
      <c r="G74" s="393" t="s">
        <v>198</v>
      </c>
      <c r="H74" s="393" t="s">
        <v>70</v>
      </c>
      <c r="I74" s="393" t="s">
        <v>194</v>
      </c>
      <c r="J74" s="393" t="s">
        <v>199</v>
      </c>
      <c r="K74" s="393">
        <v>25</v>
      </c>
      <c r="L74" s="393">
        <v>35</v>
      </c>
      <c r="M74" s="393">
        <v>7</v>
      </c>
      <c r="N74" s="401">
        <v>19</v>
      </c>
      <c r="O74" s="401">
        <v>3</v>
      </c>
      <c r="P74" s="401">
        <v>1</v>
      </c>
      <c r="Q74" s="401">
        <f t="shared" si="21"/>
        <v>862.57299999999998</v>
      </c>
      <c r="R74" s="395" t="s">
        <v>135</v>
      </c>
      <c r="S74" s="396">
        <f t="shared" si="20"/>
        <v>862.57299999999998</v>
      </c>
      <c r="T74" s="401"/>
      <c r="U74" s="401"/>
      <c r="V74" s="401"/>
      <c r="W74" s="399"/>
      <c r="X74" s="398"/>
      <c r="Y74" s="399"/>
      <c r="Z74" s="393"/>
      <c r="AA74" s="393"/>
      <c r="AB74" s="393"/>
      <c r="AC74" s="393"/>
      <c r="AD74" s="393">
        <f t="shared" si="6"/>
        <v>8.4762173466666676E-5</v>
      </c>
      <c r="AE74" s="393"/>
      <c r="AF74" s="400"/>
    </row>
    <row r="75" spans="2:32" x14ac:dyDescent="0.25">
      <c r="B75" s="390"/>
      <c r="C75" s="393"/>
      <c r="D75" s="398"/>
      <c r="E75" s="393"/>
      <c r="F75" s="394">
        <f>'Soluble pool'!H10</f>
        <v>3.126666666666667E-5</v>
      </c>
      <c r="G75" s="393" t="s">
        <v>200</v>
      </c>
      <c r="H75" s="393" t="s">
        <v>70</v>
      </c>
      <c r="I75" s="393" t="s">
        <v>194</v>
      </c>
      <c r="J75" s="393" t="s">
        <v>201</v>
      </c>
      <c r="K75" s="393">
        <v>24</v>
      </c>
      <c r="L75" s="393">
        <v>33</v>
      </c>
      <c r="M75" s="393">
        <v>7</v>
      </c>
      <c r="N75" s="401">
        <v>19</v>
      </c>
      <c r="O75" s="401">
        <v>3</v>
      </c>
      <c r="P75" s="401">
        <v>1</v>
      </c>
      <c r="Q75" s="401">
        <f t="shared" si="21"/>
        <v>848.54600000000005</v>
      </c>
      <c r="R75" s="395" t="s">
        <v>135</v>
      </c>
      <c r="S75" s="396">
        <f t="shared" si="20"/>
        <v>848.54600000000005</v>
      </c>
      <c r="T75" s="401"/>
      <c r="U75" s="401"/>
      <c r="V75" s="401"/>
      <c r="W75" s="399"/>
      <c r="X75" s="398"/>
      <c r="Y75" s="399"/>
      <c r="Z75" s="393"/>
      <c r="AA75" s="393"/>
      <c r="AB75" s="393"/>
      <c r="AC75" s="393"/>
      <c r="AD75" s="393">
        <f t="shared" si="6"/>
        <v>2.6531204933333338E-5</v>
      </c>
      <c r="AE75" s="393"/>
      <c r="AF75" s="400"/>
    </row>
    <row r="76" spans="2:32" x14ac:dyDescent="0.25">
      <c r="B76" s="390"/>
      <c r="C76" s="393"/>
      <c r="D76" s="398"/>
      <c r="E76" s="393"/>
      <c r="F76" s="394">
        <f>'Soluble pool'!H11</f>
        <v>1.7866666666666671E-3</v>
      </c>
      <c r="G76" s="393" t="s">
        <v>202</v>
      </c>
      <c r="H76" s="393" t="s">
        <v>70</v>
      </c>
      <c r="I76" s="393" t="s">
        <v>194</v>
      </c>
      <c r="J76" s="393" t="s">
        <v>203</v>
      </c>
      <c r="K76" s="393">
        <v>21</v>
      </c>
      <c r="L76" s="393">
        <v>26</v>
      </c>
      <c r="M76" s="393">
        <v>7</v>
      </c>
      <c r="N76" s="401">
        <v>14</v>
      </c>
      <c r="O76" s="401">
        <v>2</v>
      </c>
      <c r="P76" s="401">
        <v>0</v>
      </c>
      <c r="Q76" s="401">
        <f t="shared" si="21"/>
        <v>662.42199999999991</v>
      </c>
      <c r="R76" s="395" t="s">
        <v>135</v>
      </c>
      <c r="S76" s="396">
        <f>Q76</f>
        <v>662.42199999999991</v>
      </c>
      <c r="T76" s="401"/>
      <c r="U76" s="401"/>
      <c r="V76" s="401"/>
      <c r="W76" s="399"/>
      <c r="X76" s="398"/>
      <c r="Y76" s="399"/>
      <c r="Z76" s="393"/>
      <c r="AA76" s="393"/>
      <c r="AB76" s="393"/>
      <c r="AC76" s="393"/>
      <c r="AD76" s="393">
        <f t="shared" ref="AD76:AD105" si="22">(F76*Q76)/1000</f>
        <v>1.1835273066666666E-3</v>
      </c>
      <c r="AE76" s="393"/>
      <c r="AF76" s="400"/>
    </row>
    <row r="77" spans="2:32" x14ac:dyDescent="0.25">
      <c r="B77" s="390"/>
      <c r="C77" s="393"/>
      <c r="D77" s="398"/>
      <c r="E77" s="393"/>
      <c r="F77" s="394">
        <f>'Soluble pool'!H12</f>
        <v>4.4666666666666677E-5</v>
      </c>
      <c r="G77" s="393" t="s">
        <v>204</v>
      </c>
      <c r="H77" s="393" t="s">
        <v>70</v>
      </c>
      <c r="I77" s="393" t="s">
        <v>194</v>
      </c>
      <c r="J77" s="393" t="s">
        <v>205</v>
      </c>
      <c r="K77" s="393">
        <v>21</v>
      </c>
      <c r="L77" s="393">
        <v>27</v>
      </c>
      <c r="M77" s="393">
        <v>7</v>
      </c>
      <c r="N77" s="401">
        <v>14</v>
      </c>
      <c r="O77" s="401">
        <v>2</v>
      </c>
      <c r="P77" s="401">
        <v>0</v>
      </c>
      <c r="Q77" s="401">
        <f t="shared" si="21"/>
        <v>663.43</v>
      </c>
      <c r="R77" s="395" t="s">
        <v>135</v>
      </c>
      <c r="S77" s="396">
        <f>Q77</f>
        <v>663.43</v>
      </c>
      <c r="T77" s="401"/>
      <c r="U77" s="401"/>
      <c r="V77" s="401"/>
      <c r="W77" s="399"/>
      <c r="X77" s="398"/>
      <c r="Y77" s="399"/>
      <c r="Z77" s="393"/>
      <c r="AA77" s="393"/>
      <c r="AB77" s="393"/>
      <c r="AC77" s="393"/>
      <c r="AD77" s="393">
        <f t="shared" si="22"/>
        <v>2.9633206666666672E-5</v>
      </c>
      <c r="AE77" s="393"/>
      <c r="AF77" s="400"/>
    </row>
    <row r="78" spans="2:32" x14ac:dyDescent="0.25">
      <c r="B78" s="390"/>
      <c r="C78" s="393"/>
      <c r="D78" s="398"/>
      <c r="E78" s="393"/>
      <c r="F78" s="394">
        <f>'Soluble pool'!H13</f>
        <v>1.1166666666666669E-4</v>
      </c>
      <c r="G78" s="393" t="s">
        <v>206</v>
      </c>
      <c r="H78" s="393" t="s">
        <v>70</v>
      </c>
      <c r="I78" s="393" t="s">
        <v>194</v>
      </c>
      <c r="J78" s="393" t="s">
        <v>207</v>
      </c>
      <c r="K78" s="393">
        <v>21</v>
      </c>
      <c r="L78" s="393">
        <v>25</v>
      </c>
      <c r="M78" s="393">
        <v>7</v>
      </c>
      <c r="N78" s="401">
        <v>17</v>
      </c>
      <c r="O78" s="401">
        <v>3</v>
      </c>
      <c r="P78" s="401">
        <v>0</v>
      </c>
      <c r="Q78" s="401">
        <f t="shared" si="21"/>
        <v>740.38499999999999</v>
      </c>
      <c r="R78" s="395" t="s">
        <v>135</v>
      </c>
      <c r="S78" s="396">
        <f>Q78</f>
        <v>740.38499999999999</v>
      </c>
      <c r="T78" s="401"/>
      <c r="U78" s="401"/>
      <c r="V78" s="401"/>
      <c r="W78" s="399"/>
      <c r="X78" s="398"/>
      <c r="Y78" s="399"/>
      <c r="Z78" s="393"/>
      <c r="AA78" s="393"/>
      <c r="AB78" s="393"/>
      <c r="AC78" s="393"/>
      <c r="AD78" s="393">
        <f t="shared" si="22"/>
        <v>8.2676325000000022E-5</v>
      </c>
      <c r="AE78" s="393"/>
      <c r="AF78" s="400"/>
    </row>
    <row r="79" spans="2:32" x14ac:dyDescent="0.25">
      <c r="B79" s="390"/>
      <c r="C79" s="393"/>
      <c r="D79" s="398"/>
      <c r="E79" s="393"/>
      <c r="F79" s="394">
        <f>'Soluble pool'!H14</f>
        <v>3.3500000000000007E-4</v>
      </c>
      <c r="G79" s="393" t="s">
        <v>208</v>
      </c>
      <c r="H79" s="393" t="s">
        <v>70</v>
      </c>
      <c r="I79" s="393" t="s">
        <v>194</v>
      </c>
      <c r="J79" s="393" t="s">
        <v>209</v>
      </c>
      <c r="K79" s="393">
        <v>21</v>
      </c>
      <c r="L79" s="393">
        <v>26</v>
      </c>
      <c r="M79" s="393">
        <v>7</v>
      </c>
      <c r="N79" s="401">
        <v>17</v>
      </c>
      <c r="O79" s="401">
        <v>3</v>
      </c>
      <c r="P79" s="401">
        <v>0</v>
      </c>
      <c r="Q79" s="401">
        <f t="shared" si="21"/>
        <v>741.39300000000003</v>
      </c>
      <c r="R79" s="395" t="s">
        <v>135</v>
      </c>
      <c r="S79" s="396">
        <f>Q79</f>
        <v>741.39300000000003</v>
      </c>
      <c r="T79" s="401"/>
      <c r="U79" s="401"/>
      <c r="V79" s="401"/>
      <c r="W79" s="399"/>
      <c r="X79" s="398"/>
      <c r="Y79" s="399"/>
      <c r="Z79" s="393"/>
      <c r="AA79" s="393"/>
      <c r="AB79" s="393"/>
      <c r="AC79" s="393"/>
      <c r="AD79" s="393">
        <f t="shared" si="22"/>
        <v>2.4836665500000007E-4</v>
      </c>
      <c r="AE79" s="393"/>
      <c r="AF79" s="400"/>
    </row>
    <row r="80" spans="2:32" x14ac:dyDescent="0.25">
      <c r="B80" s="390"/>
      <c r="C80" s="393"/>
      <c r="D80" s="398"/>
      <c r="E80" s="393"/>
      <c r="F80" s="394">
        <f>'Soluble pool'!H32</f>
        <v>2.2333333333333339E-4</v>
      </c>
      <c r="G80" s="393" t="s">
        <v>210</v>
      </c>
      <c r="H80" s="393" t="s">
        <v>70</v>
      </c>
      <c r="I80" s="393" t="s">
        <v>194</v>
      </c>
      <c r="J80" s="393" t="s">
        <v>211</v>
      </c>
      <c r="K80" s="393">
        <v>27</v>
      </c>
      <c r="L80" s="393">
        <v>31</v>
      </c>
      <c r="M80" s="393">
        <v>9</v>
      </c>
      <c r="N80" s="401">
        <v>15</v>
      </c>
      <c r="O80" s="401">
        <v>2</v>
      </c>
      <c r="P80" s="401">
        <v>0</v>
      </c>
      <c r="Q80" s="401">
        <f t="shared" si="21"/>
        <v>783.54099999999994</v>
      </c>
      <c r="R80" s="395" t="s">
        <v>135</v>
      </c>
      <c r="S80" s="396">
        <f t="shared" si="20"/>
        <v>783.54099999999994</v>
      </c>
      <c r="T80" s="401"/>
      <c r="U80" s="401"/>
      <c r="V80" s="401"/>
      <c r="W80" s="399"/>
      <c r="X80" s="398"/>
      <c r="Y80" s="399"/>
      <c r="Z80" s="393"/>
      <c r="AA80" s="393"/>
      <c r="AB80" s="393"/>
      <c r="AC80" s="393"/>
      <c r="AD80" s="393">
        <f t="shared" si="22"/>
        <v>1.7499082333333334E-4</v>
      </c>
      <c r="AE80" s="393"/>
      <c r="AF80" s="400"/>
    </row>
    <row r="81" spans="2:32" x14ac:dyDescent="0.25">
      <c r="B81" s="390"/>
      <c r="C81" s="393"/>
      <c r="D81" s="398"/>
      <c r="E81" s="393"/>
      <c r="F81" s="394">
        <f>'Soluble pool'!H17</f>
        <v>2.2333333333333339E-4</v>
      </c>
      <c r="G81" s="393" t="s">
        <v>212</v>
      </c>
      <c r="H81" s="393" t="s">
        <v>70</v>
      </c>
      <c r="I81" s="393" t="s">
        <v>194</v>
      </c>
      <c r="J81" s="393" t="s">
        <v>213</v>
      </c>
      <c r="K81" s="393">
        <v>19</v>
      </c>
      <c r="L81" s="393">
        <v>21</v>
      </c>
      <c r="M81" s="393">
        <v>7</v>
      </c>
      <c r="N81" s="401">
        <v>6</v>
      </c>
      <c r="O81" s="401">
        <v>0</v>
      </c>
      <c r="P81" s="401">
        <v>0</v>
      </c>
      <c r="Q81" s="401">
        <f t="shared" si="21"/>
        <v>443.41999999999996</v>
      </c>
      <c r="R81" s="395" t="s">
        <v>135</v>
      </c>
      <c r="S81" s="396">
        <f t="shared" si="20"/>
        <v>443.41999999999996</v>
      </c>
      <c r="T81" s="401"/>
      <c r="U81" s="401"/>
      <c r="V81" s="401"/>
      <c r="W81" s="399"/>
      <c r="X81" s="398"/>
      <c r="Y81" s="399"/>
      <c r="Z81" s="393"/>
      <c r="AA81" s="393"/>
      <c r="AB81" s="393"/>
      <c r="AC81" s="393"/>
      <c r="AD81" s="393">
        <f t="shared" si="22"/>
        <v>9.9030466666666673E-5</v>
      </c>
      <c r="AE81" s="393"/>
      <c r="AF81" s="400"/>
    </row>
    <row r="82" spans="2:32" x14ac:dyDescent="0.25">
      <c r="B82" s="390"/>
      <c r="C82" s="393"/>
      <c r="D82" s="398"/>
      <c r="E82" s="393"/>
      <c r="F82" s="394">
        <f>'Soluble pool'!H18</f>
        <v>2.2333333333333339E-4</v>
      </c>
      <c r="G82" s="393" t="s">
        <v>214</v>
      </c>
      <c r="H82" s="393" t="s">
        <v>70</v>
      </c>
      <c r="I82" s="393" t="s">
        <v>194</v>
      </c>
      <c r="J82" s="393" t="s">
        <v>215</v>
      </c>
      <c r="K82" s="393">
        <v>20</v>
      </c>
      <c r="L82" s="393">
        <v>21</v>
      </c>
      <c r="M82" s="393">
        <v>7</v>
      </c>
      <c r="N82" s="401">
        <v>6</v>
      </c>
      <c r="O82" s="401">
        <v>0</v>
      </c>
      <c r="P82" s="401">
        <v>0</v>
      </c>
      <c r="Q82" s="401">
        <f t="shared" si="21"/>
        <v>455.43099999999993</v>
      </c>
      <c r="R82" s="395" t="s">
        <v>135</v>
      </c>
      <c r="S82" s="396">
        <f>Q82</f>
        <v>455.43099999999993</v>
      </c>
      <c r="T82" s="401"/>
      <c r="U82" s="401"/>
      <c r="V82" s="401"/>
      <c r="W82" s="399"/>
      <c r="X82" s="398"/>
      <c r="Y82" s="399"/>
      <c r="Z82" s="393"/>
      <c r="AA82" s="393"/>
      <c r="AB82" s="393"/>
      <c r="AC82" s="393"/>
      <c r="AD82" s="393">
        <f t="shared" si="22"/>
        <v>1.0171292333333334E-4</v>
      </c>
      <c r="AE82" s="393"/>
      <c r="AF82" s="400"/>
    </row>
    <row r="83" spans="2:32" x14ac:dyDescent="0.25">
      <c r="B83" s="390"/>
      <c r="C83" s="393"/>
      <c r="D83" s="398"/>
      <c r="E83" s="393"/>
      <c r="F83" s="394">
        <f>'Soluble pool'!H19</f>
        <v>2.2333333333333339E-4</v>
      </c>
      <c r="G83" s="393" t="s">
        <v>216</v>
      </c>
      <c r="H83" s="393" t="s">
        <v>70</v>
      </c>
      <c r="I83" s="393" t="s">
        <v>194</v>
      </c>
      <c r="J83" s="393" t="s">
        <v>217</v>
      </c>
      <c r="K83" s="393">
        <v>20</v>
      </c>
      <c r="L83" s="393">
        <v>24</v>
      </c>
      <c r="M83" s="393">
        <v>7</v>
      </c>
      <c r="N83" s="401">
        <v>6</v>
      </c>
      <c r="O83" s="401">
        <v>0</v>
      </c>
      <c r="P83" s="401">
        <v>0</v>
      </c>
      <c r="Q83" s="401">
        <f t="shared" si="21"/>
        <v>458.45499999999993</v>
      </c>
      <c r="R83" s="395" t="s">
        <v>135</v>
      </c>
      <c r="S83" s="396">
        <f>Q83</f>
        <v>458.45499999999993</v>
      </c>
      <c r="T83" s="401"/>
      <c r="U83" s="401"/>
      <c r="V83" s="401"/>
      <c r="W83" s="399"/>
      <c r="X83" s="398"/>
      <c r="Y83" s="399"/>
      <c r="Z83" s="393"/>
      <c r="AA83" s="393"/>
      <c r="AB83" s="393"/>
      <c r="AC83" s="393"/>
      <c r="AD83" s="393">
        <f t="shared" si="22"/>
        <v>1.0238828333333334E-4</v>
      </c>
      <c r="AE83" s="393"/>
      <c r="AF83" s="400"/>
    </row>
    <row r="84" spans="2:32" x14ac:dyDescent="0.25">
      <c r="B84" s="390"/>
      <c r="C84" s="393"/>
      <c r="D84" s="398"/>
      <c r="E84" s="393"/>
      <c r="F84" s="394">
        <f>'Soluble pool'!H25</f>
        <v>2.2333333333333339E-4</v>
      </c>
      <c r="G84" s="393" t="s">
        <v>218</v>
      </c>
      <c r="H84" s="393" t="s">
        <v>70</v>
      </c>
      <c r="I84" s="393" t="s">
        <v>194</v>
      </c>
      <c r="J84" s="393" t="s">
        <v>219</v>
      </c>
      <c r="K84" s="393">
        <v>12</v>
      </c>
      <c r="L84" s="393">
        <v>16</v>
      </c>
      <c r="M84" s="393">
        <v>4</v>
      </c>
      <c r="N84" s="401">
        <v>7</v>
      </c>
      <c r="O84" s="401">
        <v>2</v>
      </c>
      <c r="P84" s="401">
        <v>1</v>
      </c>
      <c r="Q84" s="401">
        <f t="shared" si="21"/>
        <v>422.29499999999996</v>
      </c>
      <c r="R84" s="395" t="s">
        <v>135</v>
      </c>
      <c r="S84" s="396">
        <f t="shared" si="20"/>
        <v>422.29499999999996</v>
      </c>
      <c r="T84" s="401"/>
      <c r="U84" s="401"/>
      <c r="V84" s="401"/>
      <c r="W84" s="399"/>
      <c r="X84" s="398"/>
      <c r="Y84" s="399"/>
      <c r="Z84" s="393"/>
      <c r="AA84" s="393"/>
      <c r="AB84" s="393"/>
      <c r="AC84" s="393"/>
      <c r="AD84" s="393">
        <f t="shared" si="22"/>
        <v>9.4312550000000012E-5</v>
      </c>
      <c r="AE84" s="393"/>
      <c r="AF84" s="400"/>
    </row>
    <row r="85" spans="2:32" x14ac:dyDescent="0.25">
      <c r="B85" s="390"/>
      <c r="C85" s="393"/>
      <c r="D85" s="398"/>
      <c r="E85" s="393"/>
      <c r="F85" s="394">
        <f>'Soluble pool'!H27</f>
        <v>2.2333333333333339E-4</v>
      </c>
      <c r="G85" s="393" t="s">
        <v>220</v>
      </c>
      <c r="H85" s="393" t="s">
        <v>70</v>
      </c>
      <c r="I85" s="393" t="s">
        <v>194</v>
      </c>
      <c r="J85" s="393" t="s">
        <v>221</v>
      </c>
      <c r="K85" s="393">
        <v>49</v>
      </c>
      <c r="L85" s="393">
        <v>76</v>
      </c>
      <c r="M85" s="393">
        <v>0</v>
      </c>
      <c r="N85" s="401">
        <v>4</v>
      </c>
      <c r="O85" s="401">
        <v>0</v>
      </c>
      <c r="P85" s="401">
        <v>0</v>
      </c>
      <c r="Q85" s="401">
        <f t="shared" si="21"/>
        <v>729.14299999999992</v>
      </c>
      <c r="R85" s="395" t="s">
        <v>135</v>
      </c>
      <c r="S85" s="396">
        <f t="shared" si="20"/>
        <v>729.14299999999992</v>
      </c>
      <c r="T85" s="401"/>
      <c r="U85" s="401"/>
      <c r="V85" s="401"/>
      <c r="W85" s="399"/>
      <c r="X85" s="398"/>
      <c r="Y85" s="399"/>
      <c r="Z85" s="393"/>
      <c r="AA85" s="393"/>
      <c r="AB85" s="393"/>
      <c r="AC85" s="393"/>
      <c r="AD85" s="393">
        <f t="shared" si="22"/>
        <v>1.628419366666667E-4</v>
      </c>
      <c r="AE85" s="393"/>
      <c r="AF85" s="400"/>
    </row>
    <row r="86" spans="2:32" x14ac:dyDescent="0.25">
      <c r="B86" s="390"/>
      <c r="C86" s="393"/>
      <c r="D86" s="398"/>
      <c r="E86" s="393"/>
      <c r="F86" s="394">
        <f>'Soluble pool'!H23</f>
        <v>2.2333333333333339E-4</v>
      </c>
      <c r="G86" s="393" t="s">
        <v>222</v>
      </c>
      <c r="H86" s="393" t="s">
        <v>70</v>
      </c>
      <c r="I86" s="393" t="s">
        <v>194</v>
      </c>
      <c r="J86" s="393" t="s">
        <v>223</v>
      </c>
      <c r="K86" s="393">
        <v>8</v>
      </c>
      <c r="L86" s="393">
        <v>8</v>
      </c>
      <c r="M86" s="393">
        <v>1</v>
      </c>
      <c r="N86" s="401">
        <v>6</v>
      </c>
      <c r="O86" s="401">
        <v>1</v>
      </c>
      <c r="P86" s="401">
        <v>0</v>
      </c>
      <c r="Q86" s="401">
        <f t="shared" si="21"/>
        <v>245.12699999999998</v>
      </c>
      <c r="R86" s="395" t="s">
        <v>135</v>
      </c>
      <c r="S86" s="396">
        <f t="shared" si="20"/>
        <v>245.12699999999998</v>
      </c>
      <c r="T86" s="401"/>
      <c r="U86" s="401"/>
      <c r="V86" s="401"/>
      <c r="W86" s="399"/>
      <c r="X86" s="398"/>
      <c r="Y86" s="399"/>
      <c r="Z86" s="393"/>
      <c r="AA86" s="393"/>
      <c r="AB86" s="393"/>
      <c r="AC86" s="393"/>
      <c r="AD86" s="393">
        <f t="shared" si="22"/>
        <v>5.4745030000000007E-5</v>
      </c>
      <c r="AE86" s="393"/>
      <c r="AF86" s="400"/>
    </row>
    <row r="87" spans="2:32" x14ac:dyDescent="0.25">
      <c r="B87" s="390"/>
      <c r="C87" s="393"/>
      <c r="D87" s="398"/>
      <c r="E87" s="393"/>
      <c r="F87" s="394">
        <f>'Soluble pool'!H28</f>
        <v>2.2333333333333339E-4</v>
      </c>
      <c r="G87" s="393" t="s">
        <v>224</v>
      </c>
      <c r="H87" s="393" t="s">
        <v>70</v>
      </c>
      <c r="I87" s="393" t="s">
        <v>194</v>
      </c>
      <c r="J87" s="393" t="s">
        <v>225</v>
      </c>
      <c r="K87" s="393">
        <v>49</v>
      </c>
      <c r="L87" s="393">
        <v>56</v>
      </c>
      <c r="M87" s="393">
        <v>4</v>
      </c>
      <c r="N87" s="401">
        <v>5</v>
      </c>
      <c r="O87" s="401">
        <v>0</v>
      </c>
      <c r="P87" s="401">
        <v>0</v>
      </c>
      <c r="Q87" s="401">
        <f>(K87*12.011)+(L87*1.008)+(N87*15.999)+(14.007*M87)+(O87*30.974)+(P87*32.066)+Q59</f>
        <v>836.94489999999996</v>
      </c>
      <c r="R87" s="395" t="s">
        <v>135</v>
      </c>
      <c r="S87" s="396">
        <f t="shared" si="20"/>
        <v>836.94489999999996</v>
      </c>
      <c r="T87" s="401"/>
      <c r="U87" s="401"/>
      <c r="V87" s="401"/>
      <c r="W87" s="399"/>
      <c r="X87" s="398"/>
      <c r="Y87" s="399"/>
      <c r="Z87" s="393"/>
      <c r="AA87" s="393"/>
      <c r="AB87" s="393"/>
      <c r="AC87" s="393"/>
      <c r="AD87" s="393">
        <f t="shared" si="22"/>
        <v>1.8691769433333335E-4</v>
      </c>
      <c r="AE87" s="393"/>
      <c r="AF87" s="400"/>
    </row>
    <row r="88" spans="2:32" x14ac:dyDescent="0.25">
      <c r="B88" s="390"/>
      <c r="C88" s="393"/>
      <c r="D88" s="398"/>
      <c r="E88" s="393"/>
      <c r="F88" s="394">
        <f>'Soluble pool'!H29</f>
        <v>2.2333333333333339E-4</v>
      </c>
      <c r="G88" s="393" t="s">
        <v>226</v>
      </c>
      <c r="H88" s="393" t="s">
        <v>70</v>
      </c>
      <c r="I88" s="393" t="s">
        <v>194</v>
      </c>
      <c r="J88" s="393" t="s">
        <v>227</v>
      </c>
      <c r="K88" s="393">
        <v>39</v>
      </c>
      <c r="L88" s="393">
        <v>30</v>
      </c>
      <c r="M88" s="393">
        <v>4</v>
      </c>
      <c r="N88" s="401">
        <v>5</v>
      </c>
      <c r="O88" s="401">
        <v>0</v>
      </c>
      <c r="P88" s="401">
        <v>0</v>
      </c>
      <c r="Q88" s="401">
        <f>(K88*12.011)+(L88*1.008)+(N88*15.999)+(14.007*M88)+(O88*30.974)+(P88*32.066)+Q59</f>
        <v>690.62689999999998</v>
      </c>
      <c r="R88" s="395" t="s">
        <v>135</v>
      </c>
      <c r="S88" s="396">
        <f>Q88</f>
        <v>690.62689999999998</v>
      </c>
      <c r="T88" s="401"/>
      <c r="U88" s="401"/>
      <c r="V88" s="401"/>
      <c r="W88" s="399"/>
      <c r="X88" s="398"/>
      <c r="Y88" s="399"/>
      <c r="Z88" s="393"/>
      <c r="AA88" s="393"/>
      <c r="AB88" s="393"/>
      <c r="AC88" s="393"/>
      <c r="AD88" s="393">
        <f t="shared" si="22"/>
        <v>1.5424000766666671E-4</v>
      </c>
      <c r="AE88" s="393"/>
      <c r="AF88" s="400"/>
    </row>
    <row r="89" spans="2:32" x14ac:dyDescent="0.25">
      <c r="B89" s="390"/>
      <c r="C89" s="393"/>
      <c r="D89" s="398"/>
      <c r="E89" s="393"/>
      <c r="F89" s="394">
        <f>'Soluble pool'!H30</f>
        <v>2.2333333333333339E-4</v>
      </c>
      <c r="G89" s="393" t="s">
        <v>228</v>
      </c>
      <c r="H89" s="393" t="s">
        <v>70</v>
      </c>
      <c r="I89" s="393" t="s">
        <v>194</v>
      </c>
      <c r="J89" s="393" t="s">
        <v>229</v>
      </c>
      <c r="K89" s="393">
        <v>42</v>
      </c>
      <c r="L89" s="393">
        <v>36</v>
      </c>
      <c r="M89" s="393">
        <v>4</v>
      </c>
      <c r="N89" s="401">
        <v>16</v>
      </c>
      <c r="O89" s="401">
        <v>0</v>
      </c>
      <c r="P89" s="401">
        <v>0</v>
      </c>
      <c r="Q89" s="401">
        <f>(K89*12.011)+(L89*1.008)+(N89*15.999)+(14.007*M89)+(O89*30.974)+(P89*32.066)+Q59</f>
        <v>908.69690000000003</v>
      </c>
      <c r="R89" s="395" t="s">
        <v>135</v>
      </c>
      <c r="S89" s="396">
        <f>Q89</f>
        <v>908.69690000000003</v>
      </c>
      <c r="T89" s="401"/>
      <c r="U89" s="401"/>
      <c r="V89" s="401"/>
      <c r="W89" s="399"/>
      <c r="X89" s="398"/>
      <c r="Y89" s="399"/>
      <c r="Z89" s="393"/>
      <c r="AA89" s="393"/>
      <c r="AB89" s="393"/>
      <c r="AC89" s="393"/>
      <c r="AD89" s="393">
        <f t="shared" si="22"/>
        <v>2.029423076666667E-4</v>
      </c>
      <c r="AE89" s="393"/>
      <c r="AF89" s="400"/>
    </row>
    <row r="90" spans="2:32" x14ac:dyDescent="0.25">
      <c r="B90" s="390"/>
      <c r="C90" s="393"/>
      <c r="D90" s="398"/>
      <c r="E90" s="393"/>
      <c r="F90" s="394">
        <f>'Soluble pool'!H21</f>
        <v>2.2333333333333339E-4</v>
      </c>
      <c r="G90" s="393" t="s">
        <v>452</v>
      </c>
      <c r="H90" s="393" t="s">
        <v>138</v>
      </c>
      <c r="I90" s="393" t="s">
        <v>194</v>
      </c>
      <c r="J90" s="393" t="s">
        <v>230</v>
      </c>
      <c r="K90" s="393">
        <v>30</v>
      </c>
      <c r="L90" s="393">
        <v>27</v>
      </c>
      <c r="M90" s="393">
        <v>3</v>
      </c>
      <c r="N90" s="401">
        <v>15</v>
      </c>
      <c r="O90" s="401">
        <v>0</v>
      </c>
      <c r="P90" s="401">
        <v>0</v>
      </c>
      <c r="Q90" s="401">
        <f>(K90*12.011)+(L90*1.008)+(N90*15.999)+(14.007*M90)+(O90*30.974)+(P90*32.066)</f>
        <v>669.55199999999991</v>
      </c>
      <c r="R90" s="395" t="s">
        <v>135</v>
      </c>
      <c r="S90" s="396">
        <f t="shared" si="20"/>
        <v>669.55199999999991</v>
      </c>
      <c r="T90" s="401"/>
      <c r="U90" s="401"/>
      <c r="V90" s="401"/>
      <c r="W90" s="399"/>
      <c r="X90" s="398"/>
      <c r="Y90" s="399"/>
      <c r="Z90" s="393"/>
      <c r="AA90" s="393"/>
      <c r="AB90" s="393"/>
      <c r="AC90" s="393"/>
      <c r="AD90" s="393">
        <f t="shared" si="22"/>
        <v>1.4953328000000003E-4</v>
      </c>
      <c r="AE90" s="393"/>
      <c r="AF90" s="400"/>
    </row>
    <row r="91" spans="2:32" x14ac:dyDescent="0.25">
      <c r="B91" s="390"/>
      <c r="C91" s="393"/>
      <c r="D91" s="398"/>
      <c r="E91" s="393"/>
      <c r="F91" s="394">
        <f>'Soluble pool'!H22</f>
        <v>2.2333333333333339E-4</v>
      </c>
      <c r="G91" s="393" t="s">
        <v>231</v>
      </c>
      <c r="H91" s="393" t="s">
        <v>70</v>
      </c>
      <c r="I91" s="393" t="s">
        <v>194</v>
      </c>
      <c r="J91" s="393" t="s">
        <v>232</v>
      </c>
      <c r="K91" s="393">
        <v>10</v>
      </c>
      <c r="L91" s="393">
        <v>16</v>
      </c>
      <c r="M91" s="393">
        <v>3</v>
      </c>
      <c r="N91" s="401">
        <v>6</v>
      </c>
      <c r="O91" s="401">
        <v>0</v>
      </c>
      <c r="P91" s="401">
        <v>1</v>
      </c>
      <c r="Q91" s="401">
        <f>(K91*12.011)+(L91*1.008)+(N91*15.999)+(14.007*M91)+(O91*30.974)+(P91*32.066)</f>
        <v>306.31899999999996</v>
      </c>
      <c r="R91" s="395" t="s">
        <v>135</v>
      </c>
      <c r="S91" s="396">
        <f t="shared" si="20"/>
        <v>306.31899999999996</v>
      </c>
      <c r="T91" s="401"/>
      <c r="U91" s="401"/>
      <c r="V91" s="401"/>
      <c r="W91" s="399"/>
      <c r="X91" s="398"/>
      <c r="Y91" s="399"/>
      <c r="Z91" s="393"/>
      <c r="AA91" s="393"/>
      <c r="AB91" s="393"/>
      <c r="AC91" s="393"/>
      <c r="AD91" s="393">
        <f t="shared" si="22"/>
        <v>6.8411243333333348E-5</v>
      </c>
      <c r="AE91" s="393"/>
      <c r="AF91" s="400"/>
    </row>
    <row r="92" spans="2:32" x14ac:dyDescent="0.25">
      <c r="B92" s="390"/>
      <c r="C92" s="393"/>
      <c r="D92" s="398"/>
      <c r="E92" s="393"/>
      <c r="F92" s="394">
        <f>'Soluble pool'!H26</f>
        <v>2.2333333333333339E-4</v>
      </c>
      <c r="G92" s="393" t="s">
        <v>233</v>
      </c>
      <c r="H92" s="393" t="s">
        <v>70</v>
      </c>
      <c r="I92" s="393" t="s">
        <v>194</v>
      </c>
      <c r="J92" s="393" t="s">
        <v>234</v>
      </c>
      <c r="K92" s="393">
        <v>72</v>
      </c>
      <c r="L92" s="393">
        <v>100</v>
      </c>
      <c r="M92" s="393">
        <v>18</v>
      </c>
      <c r="N92" s="401">
        <v>17</v>
      </c>
      <c r="O92" s="401">
        <v>1</v>
      </c>
      <c r="P92" s="401">
        <v>0</v>
      </c>
      <c r="Q92" s="401">
        <f>(K92*12.011)+(L92*1.008)+(N92*15.999)+(14.007*M92)+(O92*30.974)+(P92*32.066)+Q64</f>
        <v>1579.6081999999997</v>
      </c>
      <c r="R92" s="395" t="s">
        <v>135</v>
      </c>
      <c r="S92" s="396">
        <f t="shared" si="20"/>
        <v>1579.6081999999997</v>
      </c>
      <c r="T92" s="401"/>
      <c r="U92" s="401"/>
      <c r="V92" s="401"/>
      <c r="W92" s="399"/>
      <c r="X92" s="398"/>
      <c r="Y92" s="399"/>
      <c r="Z92" s="393"/>
      <c r="AA92" s="393"/>
      <c r="AB92" s="393"/>
      <c r="AC92" s="393"/>
      <c r="AD92" s="393">
        <f t="shared" si="22"/>
        <v>3.527791646666667E-4</v>
      </c>
      <c r="AE92" s="393"/>
      <c r="AF92" s="400"/>
    </row>
    <row r="93" spans="2:32" x14ac:dyDescent="0.25">
      <c r="B93" s="390"/>
      <c r="C93" s="393"/>
      <c r="D93" s="398"/>
      <c r="E93" s="393"/>
      <c r="F93" s="394">
        <f>'Soluble pool'!H15</f>
        <v>5.535259603675412E-5</v>
      </c>
      <c r="G93" s="393" t="s">
        <v>235</v>
      </c>
      <c r="H93" s="393" t="s">
        <v>70</v>
      </c>
      <c r="I93" s="393" t="s">
        <v>194</v>
      </c>
      <c r="J93" s="393" t="s">
        <v>236</v>
      </c>
      <c r="K93" s="393">
        <v>55</v>
      </c>
      <c r="L93" s="393">
        <v>89</v>
      </c>
      <c r="M93" s="393">
        <v>0</v>
      </c>
      <c r="N93" s="401">
        <v>7</v>
      </c>
      <c r="O93" s="401">
        <v>2</v>
      </c>
      <c r="P93" s="401">
        <v>0</v>
      </c>
      <c r="Q93" s="401">
        <f t="shared" ref="Q93:Q107" si="23">(K93*12.011)+(L93*1.008)+(N93*15.999)+(14.007*M93)+(O93*30.974)+(P93*32.066)</f>
        <v>924.25799999999992</v>
      </c>
      <c r="R93" s="395" t="s">
        <v>135</v>
      </c>
      <c r="S93" s="396">
        <f t="shared" si="20"/>
        <v>924.25799999999992</v>
      </c>
      <c r="T93" s="401"/>
      <c r="U93" s="401"/>
      <c r="V93" s="401"/>
      <c r="W93" s="399"/>
      <c r="X93" s="398"/>
      <c r="Y93" s="399"/>
      <c r="Z93" s="393"/>
      <c r="AA93" s="393"/>
      <c r="AB93" s="393"/>
      <c r="AC93" s="393"/>
      <c r="AD93" s="393">
        <f t="shared" si="22"/>
        <v>5.1160079707738285E-5</v>
      </c>
      <c r="AE93" s="393"/>
      <c r="AF93" s="400"/>
    </row>
    <row r="94" spans="2:32" x14ac:dyDescent="0.25">
      <c r="B94" s="390"/>
      <c r="C94" s="393"/>
      <c r="D94" s="398"/>
      <c r="E94" s="393"/>
      <c r="F94" s="394">
        <f>'Soluble pool'!H16</f>
        <v>2.2333333333333339E-4</v>
      </c>
      <c r="G94" s="393" t="s">
        <v>237</v>
      </c>
      <c r="H94" s="393" t="s">
        <v>70</v>
      </c>
      <c r="I94" s="393" t="s">
        <v>194</v>
      </c>
      <c r="J94" s="393" t="s">
        <v>238</v>
      </c>
      <c r="K94" s="393">
        <v>20</v>
      </c>
      <c r="L94" s="393">
        <v>21</v>
      </c>
      <c r="M94" s="393">
        <v>7</v>
      </c>
      <c r="N94" s="401">
        <v>7</v>
      </c>
      <c r="O94" s="401">
        <v>0</v>
      </c>
      <c r="P94" s="401">
        <v>0</v>
      </c>
      <c r="Q94" s="401">
        <f t="shared" si="23"/>
        <v>471.42999999999995</v>
      </c>
      <c r="R94" s="395" t="s">
        <v>135</v>
      </c>
      <c r="S94" s="396">
        <f t="shared" si="20"/>
        <v>471.42999999999995</v>
      </c>
      <c r="T94" s="401"/>
      <c r="U94" s="401"/>
      <c r="V94" s="401"/>
      <c r="W94" s="399"/>
      <c r="X94" s="398"/>
      <c r="Y94" s="399"/>
      <c r="Z94" s="393"/>
      <c r="AA94" s="393"/>
      <c r="AB94" s="393"/>
      <c r="AC94" s="393"/>
      <c r="AD94" s="393">
        <f t="shared" si="22"/>
        <v>1.0528603333333335E-4</v>
      </c>
      <c r="AE94" s="393"/>
      <c r="AF94" s="400"/>
    </row>
    <row r="95" spans="2:32" x14ac:dyDescent="0.25">
      <c r="B95" s="390"/>
      <c r="C95" s="393"/>
      <c r="D95" s="398"/>
      <c r="E95" s="393"/>
      <c r="F95" s="394">
        <f>'Soluble pool'!H20</f>
        <v>2.2333333333333339E-4</v>
      </c>
      <c r="G95" s="393" t="s">
        <v>239</v>
      </c>
      <c r="H95" s="393" t="s">
        <v>70</v>
      </c>
      <c r="I95" s="393" t="s">
        <v>194</v>
      </c>
      <c r="J95" s="393" t="s">
        <v>240</v>
      </c>
      <c r="K95" s="393">
        <v>10</v>
      </c>
      <c r="L95" s="393">
        <v>8</v>
      </c>
      <c r="M95" s="393">
        <v>0</v>
      </c>
      <c r="N95" s="401">
        <v>6</v>
      </c>
      <c r="O95" s="401">
        <v>0</v>
      </c>
      <c r="P95" s="401">
        <v>0</v>
      </c>
      <c r="Q95" s="401">
        <f t="shared" si="23"/>
        <v>224.16799999999998</v>
      </c>
      <c r="R95" s="395" t="s">
        <v>135</v>
      </c>
      <c r="S95" s="396">
        <f t="shared" si="20"/>
        <v>224.16799999999998</v>
      </c>
      <c r="T95" s="401"/>
      <c r="U95" s="401"/>
      <c r="V95" s="401"/>
      <c r="W95" s="399"/>
      <c r="X95" s="398"/>
      <c r="Y95" s="399"/>
      <c r="Z95" s="393"/>
      <c r="AA95" s="393"/>
      <c r="AB95" s="393"/>
      <c r="AC95" s="393"/>
      <c r="AD95" s="393">
        <f t="shared" si="22"/>
        <v>5.0064186666666676E-5</v>
      </c>
      <c r="AE95" s="393"/>
      <c r="AF95" s="400"/>
    </row>
    <row r="96" spans="2:32" x14ac:dyDescent="0.25">
      <c r="B96" s="390"/>
      <c r="C96" s="393"/>
      <c r="D96" s="398"/>
      <c r="E96" s="393"/>
      <c r="F96" s="394">
        <f>'Soluble pool'!H24</f>
        <v>2.2333333333333339E-4</v>
      </c>
      <c r="G96" s="393" t="s">
        <v>241</v>
      </c>
      <c r="H96" s="393" t="s">
        <v>70</v>
      </c>
      <c r="I96" s="393" t="s">
        <v>194</v>
      </c>
      <c r="J96" s="393" t="s">
        <v>242</v>
      </c>
      <c r="K96" s="393">
        <v>15</v>
      </c>
      <c r="L96" s="393">
        <v>23</v>
      </c>
      <c r="M96" s="393">
        <v>6</v>
      </c>
      <c r="N96" s="401">
        <v>5</v>
      </c>
      <c r="O96" s="401">
        <v>0</v>
      </c>
      <c r="P96" s="401">
        <v>1</v>
      </c>
      <c r="Q96" s="401">
        <f t="shared" si="23"/>
        <v>399.452</v>
      </c>
      <c r="R96" s="395" t="s">
        <v>135</v>
      </c>
      <c r="S96" s="396">
        <f t="shared" si="20"/>
        <v>399.452</v>
      </c>
      <c r="T96" s="401"/>
      <c r="U96" s="401"/>
      <c r="V96" s="401"/>
      <c r="W96" s="399"/>
      <c r="X96" s="398"/>
      <c r="Y96" s="399"/>
      <c r="Z96" s="393"/>
      <c r="AA96" s="393"/>
      <c r="AB96" s="393"/>
      <c r="AC96" s="393"/>
      <c r="AD96" s="393">
        <f t="shared" si="22"/>
        <v>8.9210946666666696E-5</v>
      </c>
      <c r="AE96" s="393"/>
      <c r="AF96" s="400"/>
    </row>
    <row r="97" spans="2:33" x14ac:dyDescent="0.25">
      <c r="B97" s="390"/>
      <c r="C97" s="393"/>
      <c r="D97" s="398"/>
      <c r="E97" s="393"/>
      <c r="F97" s="394">
        <f>'Soluble pool'!H31</f>
        <v>2.2333333333333339E-4</v>
      </c>
      <c r="G97" s="393" t="s">
        <v>243</v>
      </c>
      <c r="H97" s="393" t="s">
        <v>70</v>
      </c>
      <c r="I97" s="393" t="s">
        <v>194</v>
      </c>
      <c r="J97" s="393" t="s">
        <v>244</v>
      </c>
      <c r="K97" s="393">
        <v>17</v>
      </c>
      <c r="L97" s="393">
        <v>20</v>
      </c>
      <c r="M97" s="393">
        <v>4</v>
      </c>
      <c r="N97" s="401">
        <v>6</v>
      </c>
      <c r="O97" s="401">
        <v>0</v>
      </c>
      <c r="P97" s="401">
        <v>0</v>
      </c>
      <c r="Q97" s="401">
        <f t="shared" si="23"/>
        <v>376.36900000000003</v>
      </c>
      <c r="R97" s="395" t="s">
        <v>135</v>
      </c>
      <c r="S97" s="396">
        <f t="shared" si="20"/>
        <v>376.36900000000003</v>
      </c>
      <c r="T97" s="401"/>
      <c r="U97" s="401"/>
      <c r="V97" s="401"/>
      <c r="W97" s="399"/>
      <c r="X97" s="398"/>
      <c r="Y97" s="399"/>
      <c r="Z97" s="393"/>
      <c r="AA97" s="393"/>
      <c r="AB97" s="393"/>
      <c r="AC97" s="393"/>
      <c r="AD97" s="393">
        <f t="shared" si="22"/>
        <v>8.4055743333333357E-5</v>
      </c>
      <c r="AE97" s="393"/>
      <c r="AF97" s="402"/>
      <c r="AG97" s="148"/>
    </row>
    <row r="98" spans="2:33" x14ac:dyDescent="0.25">
      <c r="B98" s="390"/>
      <c r="C98" s="393"/>
      <c r="D98" s="398"/>
      <c r="E98" s="393"/>
      <c r="F98" s="394">
        <f>'Soluble pool'!H33</f>
        <v>2.2333333333333339E-4</v>
      </c>
      <c r="G98" s="389" t="s">
        <v>444</v>
      </c>
      <c r="H98" s="393" t="s">
        <v>70</v>
      </c>
      <c r="I98" s="393" t="s">
        <v>194</v>
      </c>
      <c r="J98" s="393" t="s">
        <v>464</v>
      </c>
      <c r="K98" s="393">
        <v>0</v>
      </c>
      <c r="L98" s="393">
        <v>0</v>
      </c>
      <c r="M98" s="393">
        <v>0</v>
      </c>
      <c r="N98" s="401">
        <v>0</v>
      </c>
      <c r="O98" s="401">
        <v>0</v>
      </c>
      <c r="P98" s="401">
        <v>2</v>
      </c>
      <c r="Q98" s="401">
        <v>175.82140000000001</v>
      </c>
      <c r="R98" s="395" t="s">
        <v>135</v>
      </c>
      <c r="S98" s="396">
        <f t="shared" si="20"/>
        <v>175.82140000000001</v>
      </c>
      <c r="T98" s="401"/>
      <c r="U98" s="401"/>
      <c r="V98" s="401"/>
      <c r="W98" s="399"/>
      <c r="X98" s="398"/>
      <c r="Y98" s="399"/>
      <c r="Z98" s="393"/>
      <c r="AA98" s="393"/>
      <c r="AB98" s="393"/>
      <c r="AC98" s="393"/>
      <c r="AD98" s="393">
        <f t="shared" si="22"/>
        <v>3.9266779333333341E-5</v>
      </c>
      <c r="AE98" s="393"/>
      <c r="AF98" s="400"/>
      <c r="AG98" s="148"/>
    </row>
    <row r="99" spans="2:33" x14ac:dyDescent="0.25">
      <c r="B99" s="390"/>
      <c r="C99" s="393"/>
      <c r="D99" s="398"/>
      <c r="E99" s="393"/>
      <c r="F99" s="394">
        <f>'Soluble pool'!H34</f>
        <v>2.2333333333333339E-4</v>
      </c>
      <c r="G99" s="389" t="s">
        <v>445</v>
      </c>
      <c r="H99" s="393" t="s">
        <v>70</v>
      </c>
      <c r="I99" s="393" t="s">
        <v>194</v>
      </c>
      <c r="J99" s="393" t="s">
        <v>465</v>
      </c>
      <c r="K99" s="393">
        <v>0</v>
      </c>
      <c r="L99" s="393">
        <v>0</v>
      </c>
      <c r="M99" s="393">
        <v>0</v>
      </c>
      <c r="N99" s="401">
        <v>0</v>
      </c>
      <c r="O99" s="401">
        <v>0</v>
      </c>
      <c r="P99" s="401">
        <v>4</v>
      </c>
      <c r="Q99" s="401">
        <v>351.64280000000002</v>
      </c>
      <c r="R99" s="395" t="s">
        <v>135</v>
      </c>
      <c r="S99" s="396">
        <f t="shared" si="20"/>
        <v>351.64280000000002</v>
      </c>
      <c r="T99" s="401"/>
      <c r="U99" s="401"/>
      <c r="V99" s="401"/>
      <c r="W99" s="399"/>
      <c r="X99" s="398"/>
      <c r="Y99" s="399"/>
      <c r="Z99" s="393"/>
      <c r="AA99" s="393"/>
      <c r="AB99" s="393"/>
      <c r="AC99" s="393"/>
      <c r="AD99" s="393">
        <f t="shared" si="22"/>
        <v>7.8533558666666681E-5</v>
      </c>
      <c r="AE99" s="393"/>
      <c r="AF99" s="400"/>
      <c r="AG99" s="148"/>
    </row>
    <row r="100" spans="2:33" x14ac:dyDescent="0.25">
      <c r="B100" s="390"/>
      <c r="C100" s="393"/>
      <c r="D100" s="398"/>
      <c r="E100" s="393"/>
      <c r="F100" s="394">
        <f>'Soluble pool'!H35</f>
        <v>2.2333333333333339E-4</v>
      </c>
      <c r="G100" s="389" t="s">
        <v>443</v>
      </c>
      <c r="H100" s="393" t="s">
        <v>70</v>
      </c>
      <c r="I100" s="393" t="s">
        <v>194</v>
      </c>
      <c r="J100" s="393" t="s">
        <v>466</v>
      </c>
      <c r="K100" s="393">
        <v>20</v>
      </c>
      <c r="L100" s="393">
        <v>22</v>
      </c>
      <c r="M100" s="393">
        <v>10</v>
      </c>
      <c r="N100" s="401">
        <v>15</v>
      </c>
      <c r="O100" s="401">
        <v>2</v>
      </c>
      <c r="P100" s="401">
        <v>2</v>
      </c>
      <c r="Q100" s="401">
        <v>864.46960000000001</v>
      </c>
      <c r="R100" s="395" t="s">
        <v>135</v>
      </c>
      <c r="S100" s="396">
        <f t="shared" si="20"/>
        <v>864.46960000000001</v>
      </c>
      <c r="T100" s="401"/>
      <c r="U100" s="401"/>
      <c r="V100" s="401"/>
      <c r="W100" s="399"/>
      <c r="X100" s="398"/>
      <c r="Y100" s="399"/>
      <c r="Z100" s="393"/>
      <c r="AA100" s="393"/>
      <c r="AB100" s="393"/>
      <c r="AC100" s="393"/>
      <c r="AD100" s="393">
        <f t="shared" si="22"/>
        <v>1.9306487733333338E-4</v>
      </c>
      <c r="AE100" s="393"/>
      <c r="AF100" s="400"/>
      <c r="AG100" s="148"/>
    </row>
    <row r="101" spans="2:33" x14ac:dyDescent="0.25">
      <c r="B101" s="390"/>
      <c r="C101" s="393"/>
      <c r="D101" s="398"/>
      <c r="E101" s="393"/>
      <c r="F101" s="394">
        <f>'Soluble pool'!H36</f>
        <v>2.2333333333333339E-4</v>
      </c>
      <c r="G101" s="389" t="s">
        <v>450</v>
      </c>
      <c r="H101" s="393" t="s">
        <v>70</v>
      </c>
      <c r="I101" s="393" t="s">
        <v>194</v>
      </c>
      <c r="J101" s="393" t="s">
        <v>467</v>
      </c>
      <c r="K101" s="393">
        <v>20</v>
      </c>
      <c r="L101" s="393">
        <v>27</v>
      </c>
      <c r="M101" s="393">
        <v>7</v>
      </c>
      <c r="N101" s="401">
        <v>9</v>
      </c>
      <c r="O101" s="401">
        <v>1</v>
      </c>
      <c r="P101" s="401">
        <v>1</v>
      </c>
      <c r="Q101" s="401">
        <v>572.51130000000001</v>
      </c>
      <c r="R101" s="395" t="s">
        <v>135</v>
      </c>
      <c r="S101" s="396">
        <f t="shared" si="20"/>
        <v>572.51130000000001</v>
      </c>
      <c r="T101" s="401"/>
      <c r="U101" s="401"/>
      <c r="V101" s="401"/>
      <c r="W101" s="399"/>
      <c r="X101" s="398"/>
      <c r="Y101" s="399"/>
      <c r="Z101" s="393"/>
      <c r="AA101" s="393"/>
      <c r="AB101" s="393"/>
      <c r="AC101" s="393"/>
      <c r="AD101" s="393">
        <f t="shared" si="22"/>
        <v>1.2786085700000003E-4</v>
      </c>
      <c r="AE101" s="393"/>
      <c r="AF101" s="400"/>
      <c r="AG101" s="148"/>
    </row>
    <row r="102" spans="2:33" x14ac:dyDescent="0.25">
      <c r="B102" s="390"/>
      <c r="C102" s="393"/>
      <c r="D102" s="398"/>
      <c r="E102" s="393"/>
      <c r="F102" s="394">
        <f>'Soluble pool'!H37</f>
        <v>2.2333333333333339E-4</v>
      </c>
      <c r="G102" s="389" t="s">
        <v>446</v>
      </c>
      <c r="H102" s="393" t="s">
        <v>70</v>
      </c>
      <c r="I102" s="393" t="s">
        <v>194</v>
      </c>
      <c r="J102" s="393" t="s">
        <v>468</v>
      </c>
      <c r="K102" s="393">
        <v>8</v>
      </c>
      <c r="L102" s="393">
        <v>13</v>
      </c>
      <c r="M102" s="393">
        <v>0</v>
      </c>
      <c r="N102" s="401">
        <v>1</v>
      </c>
      <c r="O102" s="401">
        <v>0</v>
      </c>
      <c r="P102" s="401">
        <v>2</v>
      </c>
      <c r="Q102" s="403">
        <v>189.32</v>
      </c>
      <c r="R102" s="395" t="s">
        <v>135</v>
      </c>
      <c r="S102" s="396">
        <f t="shared" si="20"/>
        <v>189.32</v>
      </c>
      <c r="T102" s="401"/>
      <c r="U102" s="401"/>
      <c r="V102" s="401"/>
      <c r="W102" s="399"/>
      <c r="X102" s="398"/>
      <c r="Y102" s="399"/>
      <c r="Z102" s="393"/>
      <c r="AA102" s="393"/>
      <c r="AB102" s="393"/>
      <c r="AC102" s="393"/>
      <c r="AD102" s="393">
        <f t="shared" si="22"/>
        <v>4.2281466666666678E-5</v>
      </c>
      <c r="AE102" s="393"/>
      <c r="AF102" s="400"/>
      <c r="AG102" s="148"/>
    </row>
    <row r="103" spans="2:33" x14ac:dyDescent="0.25">
      <c r="B103" s="390"/>
      <c r="C103" s="393"/>
      <c r="D103" s="398"/>
      <c r="E103" s="393"/>
      <c r="F103" s="394">
        <f>'Soluble pool'!H38</f>
        <v>2.2333333333333339E-4</v>
      </c>
      <c r="G103" s="389" t="s">
        <v>447</v>
      </c>
      <c r="H103" s="393" t="s">
        <v>70</v>
      </c>
      <c r="I103" s="393" t="s">
        <v>194</v>
      </c>
      <c r="J103" s="393" t="s">
        <v>469</v>
      </c>
      <c r="K103" s="393">
        <v>14</v>
      </c>
      <c r="L103" s="393">
        <v>5</v>
      </c>
      <c r="M103" s="393">
        <v>2</v>
      </c>
      <c r="N103" s="401">
        <v>8</v>
      </c>
      <c r="O103" s="401">
        <v>0</v>
      </c>
      <c r="P103" s="401">
        <v>0</v>
      </c>
      <c r="Q103" s="403">
        <v>329.1995</v>
      </c>
      <c r="R103" s="395" t="s">
        <v>135</v>
      </c>
      <c r="S103" s="396">
        <f t="shared" si="20"/>
        <v>329.1995</v>
      </c>
      <c r="T103" s="401"/>
      <c r="U103" s="401"/>
      <c r="V103" s="401"/>
      <c r="W103" s="399"/>
      <c r="X103" s="398"/>
      <c r="Y103" s="399"/>
      <c r="Z103" s="393"/>
      <c r="AA103" s="393"/>
      <c r="AB103" s="393"/>
      <c r="AC103" s="393"/>
      <c r="AD103" s="393">
        <f t="shared" si="22"/>
        <v>7.3521221666666674E-5</v>
      </c>
      <c r="AE103" s="393"/>
      <c r="AF103" s="400"/>
      <c r="AG103" s="148"/>
    </row>
    <row r="104" spans="2:33" x14ac:dyDescent="0.25">
      <c r="B104" s="390"/>
      <c r="C104" s="393"/>
      <c r="D104" s="398"/>
      <c r="E104" s="393"/>
      <c r="F104" s="394">
        <f>'Soluble pool'!H39</f>
        <v>2.2333333333333339E-4</v>
      </c>
      <c r="G104" s="389" t="s">
        <v>448</v>
      </c>
      <c r="H104" s="393" t="s">
        <v>70</v>
      </c>
      <c r="I104" s="393" t="s">
        <v>194</v>
      </c>
      <c r="J104" s="393" t="s">
        <v>470</v>
      </c>
      <c r="K104" s="393">
        <v>40</v>
      </c>
      <c r="L104" s="393">
        <v>44</v>
      </c>
      <c r="M104" s="393">
        <v>20</v>
      </c>
      <c r="N104" s="401">
        <v>27</v>
      </c>
      <c r="O104" s="401">
        <v>4</v>
      </c>
      <c r="P104" s="401">
        <v>4</v>
      </c>
      <c r="Q104" s="403">
        <v>1584.9989</v>
      </c>
      <c r="R104" s="395" t="s">
        <v>135</v>
      </c>
      <c r="S104" s="396">
        <f t="shared" si="20"/>
        <v>1584.9989</v>
      </c>
      <c r="T104" s="401"/>
      <c r="U104" s="401"/>
      <c r="V104" s="401"/>
      <c r="W104" s="399"/>
      <c r="X104" s="398"/>
      <c r="Y104" s="399"/>
      <c r="Z104" s="393"/>
      <c r="AA104" s="393"/>
      <c r="AB104" s="393"/>
      <c r="AC104" s="393"/>
      <c r="AD104" s="393">
        <f t="shared" si="22"/>
        <v>3.5398308766666677E-4</v>
      </c>
      <c r="AE104" s="393"/>
      <c r="AF104" s="400"/>
      <c r="AG104" s="148"/>
    </row>
    <row r="105" spans="2:33" x14ac:dyDescent="0.25">
      <c r="B105" s="390"/>
      <c r="C105" s="393"/>
      <c r="D105" s="398"/>
      <c r="E105" s="393"/>
      <c r="F105" s="394">
        <f>'Soluble pool'!H40</f>
        <v>2.2333333333333339E-4</v>
      </c>
      <c r="G105" s="389" t="s">
        <v>489</v>
      </c>
      <c r="H105" s="393" t="s">
        <v>70</v>
      </c>
      <c r="I105" s="393" t="s">
        <v>194</v>
      </c>
      <c r="J105" s="393" t="s">
        <v>492</v>
      </c>
      <c r="K105" s="393">
        <v>9</v>
      </c>
      <c r="L105" s="393">
        <v>15</v>
      </c>
      <c r="M105" s="393">
        <v>5</v>
      </c>
      <c r="N105" s="401">
        <v>4</v>
      </c>
      <c r="O105" s="401">
        <v>0</v>
      </c>
      <c r="P105" s="401">
        <v>0</v>
      </c>
      <c r="Q105" s="403">
        <v>257.25</v>
      </c>
      <c r="R105" s="395" t="s">
        <v>135</v>
      </c>
      <c r="S105" s="396">
        <f t="shared" si="20"/>
        <v>257.25</v>
      </c>
      <c r="T105" s="401"/>
      <c r="U105" s="401"/>
      <c r="V105" s="401"/>
      <c r="W105" s="399"/>
      <c r="X105" s="398"/>
      <c r="Y105" s="399"/>
      <c r="Z105" s="393"/>
      <c r="AA105" s="393"/>
      <c r="AB105" s="393"/>
      <c r="AC105" s="393"/>
      <c r="AD105" s="393">
        <f t="shared" si="22"/>
        <v>5.7452500000000013E-5</v>
      </c>
      <c r="AE105" s="393"/>
      <c r="AF105" s="400">
        <f>SUM(AD71,AD105)</f>
        <v>3.0574524999999997E-3</v>
      </c>
      <c r="AG105" s="148"/>
    </row>
    <row r="106" spans="2:33" x14ac:dyDescent="0.25">
      <c r="B106" s="149" t="s">
        <v>101</v>
      </c>
      <c r="C106" s="114"/>
      <c r="D106" s="119"/>
      <c r="E106" s="114">
        <v>1</v>
      </c>
      <c r="F106" s="115">
        <f>F123</f>
        <v>46.7502</v>
      </c>
      <c r="G106" s="114" t="s">
        <v>134</v>
      </c>
      <c r="H106" s="114" t="s">
        <v>70</v>
      </c>
      <c r="I106" s="114" t="s">
        <v>245</v>
      </c>
      <c r="J106" s="114" t="s">
        <v>246</v>
      </c>
      <c r="K106" s="114">
        <v>10</v>
      </c>
      <c r="L106" s="114">
        <v>12</v>
      </c>
      <c r="M106" s="114">
        <v>5</v>
      </c>
      <c r="N106" s="114">
        <v>13</v>
      </c>
      <c r="O106" s="114">
        <v>3</v>
      </c>
      <c r="P106" s="116">
        <v>0</v>
      </c>
      <c r="Q106" s="116">
        <f t="shared" si="23"/>
        <v>503.15</v>
      </c>
      <c r="R106" s="117"/>
      <c r="S106" s="116"/>
      <c r="T106" s="116"/>
      <c r="U106" s="116"/>
      <c r="V106" s="116"/>
      <c r="W106" s="120"/>
      <c r="X106" s="119"/>
      <c r="Y106" s="120"/>
      <c r="Z106" s="114"/>
      <c r="AA106" s="114"/>
      <c r="AB106" s="114"/>
      <c r="AC106" s="114"/>
      <c r="AD106" s="114">
        <f>(F106*Q106)/1000</f>
        <v>23.522363129999999</v>
      </c>
      <c r="AE106" s="114"/>
      <c r="AF106" s="150"/>
    </row>
    <row r="107" spans="2:33" x14ac:dyDescent="0.25">
      <c r="B107" s="149" t="s">
        <v>101</v>
      </c>
      <c r="C107" s="114"/>
      <c r="D107" s="119"/>
      <c r="E107" s="114">
        <v>1</v>
      </c>
      <c r="F107" s="115">
        <f>F123</f>
        <v>46.7502</v>
      </c>
      <c r="G107" s="114" t="s">
        <v>247</v>
      </c>
      <c r="H107" s="114" t="s">
        <v>70</v>
      </c>
      <c r="I107" s="114" t="s">
        <v>245</v>
      </c>
      <c r="J107" s="114" t="s">
        <v>248</v>
      </c>
      <c r="K107" s="114">
        <v>0</v>
      </c>
      <c r="L107" s="114">
        <v>2</v>
      </c>
      <c r="M107" s="114">
        <v>0</v>
      </c>
      <c r="N107" s="116">
        <v>1</v>
      </c>
      <c r="O107" s="116">
        <v>0</v>
      </c>
      <c r="P107" s="116">
        <v>0</v>
      </c>
      <c r="Q107" s="116">
        <f t="shared" si="23"/>
        <v>18.015000000000001</v>
      </c>
      <c r="R107" s="117"/>
      <c r="S107" s="116"/>
      <c r="T107" s="116"/>
      <c r="U107" s="116"/>
      <c r="V107" s="116"/>
      <c r="W107" s="120"/>
      <c r="X107" s="119"/>
      <c r="Y107" s="120"/>
      <c r="Z107" s="114"/>
      <c r="AA107" s="114"/>
      <c r="AB107" s="114"/>
      <c r="AC107" s="114"/>
      <c r="AD107" s="114">
        <f>(F107*Q107)/1000</f>
        <v>0.84220485300000003</v>
      </c>
      <c r="AE107" s="114"/>
      <c r="AF107" s="150"/>
    </row>
    <row r="108" spans="2:33" x14ac:dyDescent="0.25">
      <c r="B108" s="151" t="s">
        <v>249</v>
      </c>
      <c r="C108" s="136"/>
      <c r="D108" s="153"/>
      <c r="E108" s="136"/>
      <c r="F108" s="137">
        <f>F106+F31</f>
        <v>46.918883474185442</v>
      </c>
      <c r="G108" s="136" t="s">
        <v>134</v>
      </c>
      <c r="H108" s="136" t="s">
        <v>250</v>
      </c>
      <c r="I108" s="136"/>
      <c r="J108" s="136"/>
      <c r="K108" s="136"/>
      <c r="L108" s="136"/>
      <c r="M108" s="136"/>
      <c r="N108" s="138"/>
      <c r="O108" s="138"/>
      <c r="P108" s="138"/>
      <c r="Q108" s="138"/>
      <c r="R108" s="139"/>
      <c r="S108" s="138"/>
      <c r="T108" s="138"/>
      <c r="U108" s="138"/>
      <c r="V108" s="138"/>
      <c r="W108" s="152"/>
      <c r="X108" s="153"/>
      <c r="Y108" s="152"/>
      <c r="Z108" s="136"/>
      <c r="AA108" s="136"/>
      <c r="AB108" s="136"/>
      <c r="AC108" s="136"/>
      <c r="AD108" s="136"/>
      <c r="AE108" s="136"/>
      <c r="AF108" s="154"/>
    </row>
    <row r="109" spans="2:33" x14ac:dyDescent="0.25">
      <c r="B109" s="151" t="s">
        <v>251</v>
      </c>
      <c r="C109" s="136"/>
      <c r="D109" s="153"/>
      <c r="E109" s="136"/>
      <c r="F109" s="137">
        <f>F107-F117</f>
        <v>41.397362576737855</v>
      </c>
      <c r="G109" s="136" t="s">
        <v>247</v>
      </c>
      <c r="H109" s="136" t="s">
        <v>250</v>
      </c>
      <c r="I109" s="136"/>
      <c r="J109" s="136"/>
      <c r="K109" s="136"/>
      <c r="L109" s="136"/>
      <c r="M109" s="136"/>
      <c r="N109" s="138"/>
      <c r="O109" s="138"/>
      <c r="P109" s="138"/>
      <c r="Q109" s="138"/>
      <c r="R109" s="139"/>
      <c r="S109" s="138"/>
      <c r="T109" s="138"/>
      <c r="U109" s="138"/>
      <c r="V109" s="138"/>
      <c r="W109" s="152"/>
      <c r="X109" s="153"/>
      <c r="Y109" s="152"/>
      <c r="Z109" s="136"/>
      <c r="AA109" s="136"/>
      <c r="AB109" s="136"/>
      <c r="AC109" s="136"/>
      <c r="AD109" s="136"/>
      <c r="AE109" s="136"/>
      <c r="AF109" s="154"/>
    </row>
    <row r="110" spans="2:33" s="3" customFormat="1" x14ac:dyDescent="0.25">
      <c r="B110" s="155"/>
      <c r="F110" s="43"/>
      <c r="N110" s="156"/>
      <c r="O110" s="156"/>
      <c r="P110" s="156"/>
      <c r="Q110" s="156"/>
      <c r="R110" s="157"/>
      <c r="S110" s="156"/>
      <c r="T110" s="156"/>
      <c r="U110" s="156"/>
      <c r="V110" s="156"/>
      <c r="W110" s="158"/>
      <c r="X110" s="159"/>
      <c r="Y110" s="158"/>
      <c r="AF110" s="160"/>
    </row>
    <row r="111" spans="2:33" x14ac:dyDescent="0.25">
      <c r="B111" s="161" t="s">
        <v>252</v>
      </c>
      <c r="C111" s="3"/>
      <c r="D111" s="3"/>
      <c r="E111" s="3"/>
      <c r="F111" s="4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13"/>
      <c r="S111" s="3"/>
      <c r="T111" s="3"/>
      <c r="U111" s="3"/>
      <c r="V111" s="3"/>
      <c r="W111" s="158"/>
      <c r="X111" s="159"/>
      <c r="Y111" s="3"/>
      <c r="Z111" s="3"/>
      <c r="AA111" s="3"/>
      <c r="AB111" s="3"/>
      <c r="AC111" s="3"/>
      <c r="AD111" s="3"/>
      <c r="AE111" s="3"/>
      <c r="AF111" s="160"/>
    </row>
    <row r="112" spans="2:33" x14ac:dyDescent="0.25">
      <c r="B112" s="149" t="s">
        <v>101</v>
      </c>
      <c r="C112" s="114"/>
      <c r="D112" s="114"/>
      <c r="E112" s="114">
        <v>1</v>
      </c>
      <c r="F112" s="115">
        <f>F123</f>
        <v>46.7502</v>
      </c>
      <c r="G112" s="114" t="s">
        <v>253</v>
      </c>
      <c r="H112" s="114" t="s">
        <v>70</v>
      </c>
      <c r="I112" s="114" t="s">
        <v>245</v>
      </c>
      <c r="J112" s="114" t="s">
        <v>254</v>
      </c>
      <c r="K112" s="114">
        <v>10</v>
      </c>
      <c r="L112" s="114">
        <v>12</v>
      </c>
      <c r="M112" s="114">
        <v>5</v>
      </c>
      <c r="N112" s="114">
        <v>10</v>
      </c>
      <c r="O112" s="114">
        <v>2</v>
      </c>
      <c r="P112" s="114">
        <v>0</v>
      </c>
      <c r="Q112" s="114">
        <f t="shared" ref="Q112:Q117" si="24">(K112*12.011)+(L112*1.008)+(N112*15.999)+(14.007*M112)+(O112*30.974)+(P112*32.066)</f>
        <v>424.17899999999997</v>
      </c>
      <c r="R112" s="145"/>
      <c r="S112" s="114"/>
      <c r="T112" s="114"/>
      <c r="U112" s="114"/>
      <c r="V112" s="114"/>
      <c r="W112" s="120"/>
      <c r="X112" s="119"/>
      <c r="Y112" s="120"/>
      <c r="Z112" s="114"/>
      <c r="AA112" s="114"/>
      <c r="AB112" s="114"/>
      <c r="AC112" s="114"/>
      <c r="AD112" s="114">
        <f t="shared" ref="AD112:AD117" si="25">(F112*Q112)/1000</f>
        <v>19.830453085799999</v>
      </c>
      <c r="AE112" s="114"/>
      <c r="AF112" s="150"/>
    </row>
    <row r="113" spans="2:32" x14ac:dyDescent="0.25">
      <c r="B113" s="149" t="s">
        <v>101</v>
      </c>
      <c r="C113" s="114"/>
      <c r="D113" s="114"/>
      <c r="E113" s="114">
        <v>1</v>
      </c>
      <c r="F113" s="115">
        <f>F123</f>
        <v>46.7502</v>
      </c>
      <c r="G113" s="114" t="s">
        <v>255</v>
      </c>
      <c r="H113" s="114" t="s">
        <v>70</v>
      </c>
      <c r="I113" s="114" t="s">
        <v>245</v>
      </c>
      <c r="J113" s="114" t="s">
        <v>49</v>
      </c>
      <c r="K113" s="114">
        <v>0</v>
      </c>
      <c r="L113" s="114">
        <v>1</v>
      </c>
      <c r="M113" s="114">
        <v>0</v>
      </c>
      <c r="N113" s="114">
        <v>0</v>
      </c>
      <c r="O113" s="114">
        <v>0</v>
      </c>
      <c r="P113" s="114">
        <v>0</v>
      </c>
      <c r="Q113" s="114">
        <f t="shared" si="24"/>
        <v>1.008</v>
      </c>
      <c r="R113" s="145"/>
      <c r="S113" s="114"/>
      <c r="T113" s="114"/>
      <c r="U113" s="114"/>
      <c r="V113" s="114"/>
      <c r="W113" s="120"/>
      <c r="X113" s="119"/>
      <c r="Y113" s="120"/>
      <c r="Z113" s="114"/>
      <c r="AA113" s="114"/>
      <c r="AB113" s="114"/>
      <c r="AC113" s="114"/>
      <c r="AD113" s="114">
        <f t="shared" si="25"/>
        <v>4.7124201599999999E-2</v>
      </c>
      <c r="AE113" s="114"/>
      <c r="AF113" s="150"/>
    </row>
    <row r="114" spans="2:32" x14ac:dyDescent="0.25">
      <c r="B114" s="149" t="s">
        <v>101</v>
      </c>
      <c r="C114" s="114"/>
      <c r="D114" s="114"/>
      <c r="E114" s="114">
        <v>1</v>
      </c>
      <c r="F114" s="115">
        <f>F123</f>
        <v>46.7502</v>
      </c>
      <c r="G114" s="114" t="s">
        <v>187</v>
      </c>
      <c r="H114" s="114" t="s">
        <v>70</v>
      </c>
      <c r="I114" s="114" t="s">
        <v>245</v>
      </c>
      <c r="J114" s="114" t="s">
        <v>188</v>
      </c>
      <c r="K114" s="114">
        <v>0</v>
      </c>
      <c r="L114" s="114">
        <v>1</v>
      </c>
      <c r="M114" s="114">
        <v>0</v>
      </c>
      <c r="N114" s="114">
        <v>4</v>
      </c>
      <c r="O114" s="114">
        <v>1</v>
      </c>
      <c r="P114" s="114">
        <v>0</v>
      </c>
      <c r="Q114" s="114">
        <f t="shared" si="24"/>
        <v>95.978000000000009</v>
      </c>
      <c r="R114" s="145"/>
      <c r="S114" s="114"/>
      <c r="T114" s="114"/>
      <c r="U114" s="114"/>
      <c r="V114" s="114"/>
      <c r="W114" s="120"/>
      <c r="X114" s="119"/>
      <c r="Y114" s="120"/>
      <c r="Z114" s="114"/>
      <c r="AA114" s="114"/>
      <c r="AB114" s="114"/>
      <c r="AC114" s="114"/>
      <c r="AD114" s="114">
        <f t="shared" si="25"/>
        <v>4.4869906956000003</v>
      </c>
      <c r="AE114" s="114"/>
      <c r="AF114" s="150"/>
    </row>
    <row r="115" spans="2:32" x14ac:dyDescent="0.25">
      <c r="B115" s="162" t="s">
        <v>256</v>
      </c>
      <c r="C115" s="88"/>
      <c r="D115" s="88"/>
      <c r="E115" s="88"/>
      <c r="F115" s="95">
        <f>Z27</f>
        <v>5.6293617468313316E-2</v>
      </c>
      <c r="G115" s="88" t="s">
        <v>257</v>
      </c>
      <c r="H115" s="88" t="s">
        <v>70</v>
      </c>
      <c r="I115" s="88" t="s">
        <v>256</v>
      </c>
      <c r="J115" s="88" t="s">
        <v>258</v>
      </c>
      <c r="K115" s="88">
        <v>0</v>
      </c>
      <c r="L115" s="88">
        <v>1</v>
      </c>
      <c r="M115" s="88">
        <v>0</v>
      </c>
      <c r="N115" s="88">
        <v>7</v>
      </c>
      <c r="O115" s="88">
        <v>2</v>
      </c>
      <c r="P115" s="88">
        <v>0</v>
      </c>
      <c r="Q115" s="88">
        <f t="shared" si="24"/>
        <v>174.94900000000001</v>
      </c>
      <c r="R115" s="163"/>
      <c r="S115" s="88"/>
      <c r="T115" s="88"/>
      <c r="U115" s="88"/>
      <c r="V115" s="88"/>
      <c r="W115" s="93"/>
      <c r="X115" s="89"/>
      <c r="Y115" s="93"/>
      <c r="Z115" s="88"/>
      <c r="AA115" s="88"/>
      <c r="AB115" s="88"/>
      <c r="AC115" s="88"/>
      <c r="AD115" s="88">
        <f t="shared" si="25"/>
        <v>9.8485120824639456E-3</v>
      </c>
      <c r="AE115" s="88"/>
      <c r="AF115" s="164"/>
    </row>
    <row r="116" spans="2:32" x14ac:dyDescent="0.25">
      <c r="B116" s="165" t="s">
        <v>259</v>
      </c>
      <c r="C116" s="102"/>
      <c r="D116" s="102"/>
      <c r="E116" s="102"/>
      <c r="F116" s="109">
        <f>Z31</f>
        <v>0.6823872356919054</v>
      </c>
      <c r="G116" s="102" t="s">
        <v>257</v>
      </c>
      <c r="H116" s="102" t="s">
        <v>70</v>
      </c>
      <c r="I116" s="102" t="s">
        <v>259</v>
      </c>
      <c r="J116" s="102" t="s">
        <v>258</v>
      </c>
      <c r="K116" s="102">
        <v>0</v>
      </c>
      <c r="L116" s="102">
        <v>1</v>
      </c>
      <c r="M116" s="102">
        <v>0</v>
      </c>
      <c r="N116" s="102">
        <v>7</v>
      </c>
      <c r="O116" s="102">
        <v>2</v>
      </c>
      <c r="P116" s="102">
        <v>0</v>
      </c>
      <c r="Q116" s="102">
        <f>(K116*12.011)+(L116*1.008)+(N116*15.999)+(14.007*M116)+(O116*30.974)+(P116*32.066)</f>
        <v>174.94900000000001</v>
      </c>
      <c r="R116" s="166"/>
      <c r="S116" s="102"/>
      <c r="T116" s="102"/>
      <c r="U116" s="102"/>
      <c r="V116" s="102"/>
      <c r="W116" s="107"/>
      <c r="X116" s="103"/>
      <c r="Y116" s="107"/>
      <c r="Z116" s="102"/>
      <c r="AA116" s="102"/>
      <c r="AB116" s="102"/>
      <c r="AC116" s="102"/>
      <c r="AD116" s="102">
        <f t="shared" si="25"/>
        <v>0.11938296449706318</v>
      </c>
      <c r="AE116" s="102"/>
      <c r="AF116" s="167"/>
    </row>
    <row r="117" spans="2:32" x14ac:dyDescent="0.25">
      <c r="B117" s="67" t="s">
        <v>260</v>
      </c>
      <c r="C117" s="68"/>
      <c r="D117" s="68"/>
      <c r="E117" s="68"/>
      <c r="F117" s="168">
        <f>SUM(X4:X23)</f>
        <v>5.3528374232621445</v>
      </c>
      <c r="G117" s="68" t="s">
        <v>247</v>
      </c>
      <c r="H117" s="68" t="s">
        <v>70</v>
      </c>
      <c r="I117" s="68" t="s">
        <v>260</v>
      </c>
      <c r="J117" s="68" t="s">
        <v>248</v>
      </c>
      <c r="K117" s="68">
        <v>0</v>
      </c>
      <c r="L117" s="68">
        <v>2</v>
      </c>
      <c r="M117" s="68">
        <v>0</v>
      </c>
      <c r="N117" s="169">
        <v>1</v>
      </c>
      <c r="O117" s="169">
        <v>0</v>
      </c>
      <c r="P117" s="169">
        <v>0</v>
      </c>
      <c r="Q117" s="169">
        <f t="shared" si="24"/>
        <v>18.015000000000001</v>
      </c>
      <c r="R117" s="170"/>
      <c r="S117" s="169"/>
      <c r="T117" s="169"/>
      <c r="U117" s="169"/>
      <c r="V117" s="169"/>
      <c r="W117" s="71"/>
      <c r="X117" s="69"/>
      <c r="Y117" s="71"/>
      <c r="Z117" s="68"/>
      <c r="AA117" s="68"/>
      <c r="AB117" s="68"/>
      <c r="AC117" s="68"/>
      <c r="AD117" s="68">
        <f t="shared" si="25"/>
        <v>9.6431366180067549E-2</v>
      </c>
      <c r="AE117" s="68"/>
      <c r="AF117" s="74"/>
    </row>
    <row r="118" spans="2:32" x14ac:dyDescent="0.25">
      <c r="B118" s="151" t="s">
        <v>261</v>
      </c>
      <c r="C118" s="136"/>
      <c r="D118" s="136"/>
      <c r="E118" s="136"/>
      <c r="F118" s="137">
        <f>F116+F115</f>
        <v>0.7386808531602187</v>
      </c>
      <c r="G118" s="136" t="s">
        <v>257</v>
      </c>
      <c r="H118" s="136" t="s">
        <v>70</v>
      </c>
      <c r="I118" s="136" t="s">
        <v>262</v>
      </c>
      <c r="J118" s="136" t="s">
        <v>188</v>
      </c>
      <c r="K118" s="136">
        <v>0</v>
      </c>
      <c r="L118" s="136">
        <v>1</v>
      </c>
      <c r="M118" s="136">
        <v>0</v>
      </c>
      <c r="N118" s="136">
        <v>4</v>
      </c>
      <c r="O118" s="136">
        <v>1</v>
      </c>
      <c r="P118" s="136">
        <v>0</v>
      </c>
      <c r="Q118" s="136">
        <f>(K118*12.011)+(L118*1.008)+(N118*15.999)+(14.007*M118)+(O118*30.974)+(P118*32.066)</f>
        <v>95.978000000000009</v>
      </c>
      <c r="R118" s="171"/>
      <c r="S118" s="136"/>
      <c r="T118" s="136"/>
      <c r="U118" s="136"/>
      <c r="V118" s="136"/>
      <c r="W118" s="152"/>
      <c r="X118" s="153"/>
      <c r="Y118" s="152"/>
      <c r="Z118" s="136"/>
      <c r="AA118" s="136"/>
      <c r="AB118" s="136"/>
      <c r="AC118" s="136"/>
      <c r="AD118" s="136"/>
      <c r="AE118" s="136"/>
      <c r="AF118" s="154"/>
    </row>
    <row r="119" spans="2:32" ht="15.75" thickBot="1" x14ac:dyDescent="0.3">
      <c r="B119" s="172" t="s">
        <v>263</v>
      </c>
      <c r="C119" s="173"/>
      <c r="D119" s="173"/>
      <c r="E119" s="173"/>
      <c r="F119" s="174">
        <f>F114-F70</f>
        <v>46.746677559170557</v>
      </c>
      <c r="G119" s="173" t="s">
        <v>187</v>
      </c>
      <c r="H119" s="173" t="s">
        <v>70</v>
      </c>
      <c r="I119" s="173" t="s">
        <v>161</v>
      </c>
      <c r="J119" s="173" t="s">
        <v>188</v>
      </c>
      <c r="K119" s="173">
        <v>0</v>
      </c>
      <c r="L119" s="173">
        <v>1</v>
      </c>
      <c r="M119" s="173">
        <v>0</v>
      </c>
      <c r="N119" s="173">
        <v>4</v>
      </c>
      <c r="O119" s="173">
        <v>1</v>
      </c>
      <c r="P119" s="173">
        <v>0</v>
      </c>
      <c r="Q119" s="173">
        <v>95.978000000000009</v>
      </c>
      <c r="R119" s="175"/>
      <c r="S119" s="173"/>
      <c r="T119" s="173"/>
      <c r="U119" s="173"/>
      <c r="V119" s="173"/>
      <c r="W119" s="176"/>
      <c r="X119" s="177"/>
      <c r="Y119" s="176"/>
      <c r="Z119" s="173"/>
      <c r="AA119" s="173"/>
      <c r="AB119" s="173"/>
      <c r="AC119" s="173"/>
      <c r="AD119" s="173"/>
      <c r="AE119" s="173"/>
      <c r="AF119" s="178"/>
    </row>
    <row r="120" spans="2:32" x14ac:dyDescent="0.25">
      <c r="AF120" s="183" t="e">
        <f>SUM(#REF!)</f>
        <v>#REF!</v>
      </c>
    </row>
    <row r="121" spans="2:32" ht="15.75" thickBot="1" x14ac:dyDescent="0.3">
      <c r="G121" s="30"/>
    </row>
    <row r="122" spans="2:32" x14ac:dyDescent="0.25">
      <c r="E122" s="179" t="s">
        <v>264</v>
      </c>
      <c r="F122" s="180"/>
    </row>
    <row r="123" spans="2:32" x14ac:dyDescent="0.25">
      <c r="E123" s="181" t="s">
        <v>265</v>
      </c>
      <c r="F123" s="182">
        <v>46.7502</v>
      </c>
      <c r="G123" s="30"/>
      <c r="H123" s="30"/>
      <c r="I123" s="30"/>
      <c r="AF123" s="183"/>
    </row>
    <row r="124" spans="2:32" x14ac:dyDescent="0.25">
      <c r="D124" s="30"/>
      <c r="E124" t="s">
        <v>471</v>
      </c>
      <c r="F124">
        <v>0.92</v>
      </c>
      <c r="H124" t="s">
        <v>472</v>
      </c>
      <c r="N124" s="2"/>
      <c r="R124"/>
      <c r="S124" s="41"/>
      <c r="T124" s="41"/>
      <c r="W124"/>
      <c r="X124"/>
      <c r="AC124" s="30"/>
      <c r="AD124" s="30"/>
      <c r="AE124" s="30"/>
      <c r="AF124" s="30"/>
    </row>
    <row r="125" spans="2:32" x14ac:dyDescent="0.25">
      <c r="D125" s="30"/>
      <c r="E125" s="30"/>
      <c r="F125"/>
      <c r="N125" s="2"/>
      <c r="R125"/>
      <c r="S125" s="41"/>
      <c r="T125" s="41"/>
      <c r="W125"/>
      <c r="X125"/>
      <c r="AC125" s="30"/>
      <c r="AD125" s="30"/>
      <c r="AE125" s="30"/>
      <c r="AF125" s="30"/>
    </row>
    <row r="126" spans="2:32" x14ac:dyDescent="0.25">
      <c r="F126"/>
      <c r="N126" s="2"/>
      <c r="R126"/>
      <c r="S126" s="41"/>
      <c r="T126" s="41"/>
      <c r="W126"/>
      <c r="X126"/>
      <c r="AC126" s="30"/>
      <c r="AD126" s="30"/>
      <c r="AE126" s="30"/>
      <c r="AF126" s="30"/>
    </row>
    <row r="127" spans="2:32" x14ac:dyDescent="0.25">
      <c r="B127" s="29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</row>
    <row r="128" spans="2:32" x14ac:dyDescent="0.25">
      <c r="B128" s="1"/>
      <c r="C128" s="1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</row>
    <row r="129" spans="3:32" x14ac:dyDescent="0.25">
      <c r="C129" s="186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</row>
    <row r="133" spans="3:32" x14ac:dyDescent="0.25">
      <c r="C133" s="186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</row>
    <row r="134" spans="3:32" x14ac:dyDescent="0.25"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</row>
    <row r="135" spans="3:32" x14ac:dyDescent="0.25">
      <c r="C135" s="186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</row>
    <row r="138" spans="3:32" x14ac:dyDescent="0.25">
      <c r="O138" s="2"/>
      <c r="R138"/>
      <c r="T138" s="41"/>
      <c r="U138" s="41"/>
      <c r="W138"/>
      <c r="X138"/>
      <c r="AD138" s="30"/>
      <c r="AE138" s="30"/>
      <c r="AF138" s="30"/>
    </row>
    <row r="139" spans="3:32" x14ac:dyDescent="0.25">
      <c r="O139" s="2"/>
      <c r="R139"/>
      <c r="T139" s="41"/>
      <c r="U139" s="41"/>
      <c r="W139"/>
      <c r="X139"/>
      <c r="AD139" s="30"/>
      <c r="AE139" s="30"/>
      <c r="AF139" s="30"/>
    </row>
    <row r="140" spans="3:32" x14ac:dyDescent="0.25">
      <c r="O140" s="2"/>
      <c r="R140"/>
      <c r="T140" s="41"/>
      <c r="U140" s="41"/>
      <c r="W140"/>
      <c r="X140"/>
      <c r="AD140" s="30"/>
      <c r="AE140" s="30"/>
      <c r="AF140" s="30"/>
    </row>
    <row r="141" spans="3:32" x14ac:dyDescent="0.25">
      <c r="O141" s="2"/>
      <c r="R141"/>
      <c r="T141" s="41"/>
      <c r="U141" s="41"/>
      <c r="W141"/>
      <c r="X141"/>
      <c r="AD141" s="30"/>
      <c r="AE141" s="30"/>
      <c r="AF141" s="30"/>
    </row>
    <row r="142" spans="3:32" x14ac:dyDescent="0.25">
      <c r="O142" s="2"/>
      <c r="R142"/>
      <c r="T142" s="41"/>
      <c r="U142" s="41"/>
      <c r="W142"/>
      <c r="X142"/>
      <c r="AD142" s="30"/>
      <c r="AE142" s="30"/>
      <c r="AF142" s="30"/>
    </row>
    <row r="143" spans="3:32" x14ac:dyDescent="0.25">
      <c r="O143" s="2"/>
      <c r="R143"/>
      <c r="T143" s="41"/>
      <c r="U143" s="41"/>
      <c r="W143"/>
      <c r="X143"/>
      <c r="AD143" s="30"/>
      <c r="AE143" s="30"/>
      <c r="AF143" s="30"/>
    </row>
    <row r="144" spans="3:32" x14ac:dyDescent="0.25">
      <c r="O144" s="2"/>
      <c r="R144"/>
      <c r="T144" s="41"/>
      <c r="U144" s="41"/>
      <c r="W144"/>
      <c r="X144"/>
      <c r="AD144" s="30"/>
      <c r="AE144" s="30"/>
      <c r="AF144" s="30"/>
    </row>
    <row r="145" spans="2:32" x14ac:dyDescent="0.25">
      <c r="O145" s="2"/>
      <c r="R145"/>
      <c r="T145" s="41"/>
      <c r="U145" s="41"/>
      <c r="W145"/>
      <c r="X145"/>
      <c r="AD145" s="30"/>
      <c r="AE145" s="30"/>
      <c r="AF145" s="30"/>
    </row>
    <row r="146" spans="2:32" x14ac:dyDescent="0.25">
      <c r="O146" s="2"/>
      <c r="R146"/>
      <c r="T146" s="41"/>
      <c r="U146" s="41"/>
      <c r="W146"/>
      <c r="X146"/>
      <c r="AD146" s="30"/>
      <c r="AE146" s="30"/>
      <c r="AF146" s="30"/>
    </row>
    <row r="147" spans="2:32" x14ac:dyDescent="0.25">
      <c r="O147" s="2"/>
      <c r="R147"/>
      <c r="T147" s="41"/>
      <c r="U147" s="41"/>
      <c r="W147"/>
      <c r="X147"/>
      <c r="AD147" s="30"/>
      <c r="AE147" s="30"/>
      <c r="AF147" s="30"/>
    </row>
    <row r="148" spans="2:32" x14ac:dyDescent="0.25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</row>
    <row r="149" spans="2:32" x14ac:dyDescent="0.25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</row>
    <row r="150" spans="2:32" x14ac:dyDescent="0.25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</row>
    <row r="151" spans="2:32" x14ac:dyDescent="0.25">
      <c r="O151" s="2"/>
      <c r="R151"/>
      <c r="T151" s="41"/>
      <c r="U151" s="41"/>
      <c r="W151"/>
      <c r="X151"/>
      <c r="AD151" s="30"/>
      <c r="AE151" s="30"/>
      <c r="AF151" s="30"/>
    </row>
    <row r="152" spans="2:32" x14ac:dyDescent="0.25">
      <c r="O152" s="2"/>
      <c r="R152"/>
      <c r="T152" s="41"/>
      <c r="U152" s="41"/>
      <c r="W152"/>
      <c r="X152"/>
      <c r="AD152" s="30"/>
      <c r="AE152" s="30"/>
      <c r="AF152" s="3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9"/>
  <sheetViews>
    <sheetView workbookViewId="0">
      <pane ySplit="1" topLeftCell="A84" activePane="bottomLeft" state="frozen"/>
      <selection pane="bottomLeft" activeCell="A7" sqref="A7"/>
    </sheetView>
  </sheetViews>
  <sheetFormatPr baseColWidth="10" defaultColWidth="9.140625" defaultRowHeight="15" x14ac:dyDescent="0.25"/>
  <cols>
    <col min="1" max="1" width="9.140625" style="279"/>
    <col min="2" max="2" width="11.42578125" style="14" customWidth="1"/>
    <col min="3" max="3" width="8.42578125" style="14" bestFit="1" customWidth="1"/>
    <col min="4" max="4" width="10.28515625" style="14" bestFit="1" customWidth="1"/>
    <col min="5" max="5" width="14.28515625" style="14" customWidth="1"/>
    <col min="6" max="6" width="10.7109375" style="447" customWidth="1"/>
    <col min="7" max="7" width="14.42578125" style="14" customWidth="1"/>
    <col min="8" max="8" width="19.42578125" style="14" bestFit="1" customWidth="1"/>
    <col min="9" max="9" width="21.85546875" style="14" bestFit="1" customWidth="1"/>
    <col min="10" max="10" width="23" style="14" customWidth="1"/>
    <col min="11" max="16" width="9.140625" style="14"/>
    <col min="17" max="17" width="14" style="14" customWidth="1"/>
    <col min="18" max="18" width="18.7109375" style="2" customWidth="1"/>
    <col min="19" max="19" width="12.42578125" style="14" customWidth="1"/>
    <col min="20" max="20" width="13.28515625" style="14" customWidth="1"/>
    <col min="21" max="21" width="10.7109375" style="14" customWidth="1"/>
    <col min="22" max="22" width="13.140625" style="14" customWidth="1"/>
    <col min="23" max="23" width="13.140625" style="448" customWidth="1"/>
    <col min="24" max="24" width="10.7109375" style="448" customWidth="1"/>
    <col min="25" max="26" width="9.140625" style="14"/>
    <col min="27" max="27" width="12.42578125" style="14" bestFit="1" customWidth="1"/>
    <col min="28" max="32" width="9.140625" style="14"/>
    <col min="33" max="34" width="9.140625" style="279"/>
    <col min="35" max="35" width="10" style="279" bestFit="1" customWidth="1"/>
    <col min="36" max="16384" width="9.140625" style="279"/>
  </cols>
  <sheetData>
    <row r="1" spans="1:37" ht="24" thickBot="1" x14ac:dyDescent="0.4">
      <c r="A1" s="615" t="s">
        <v>514</v>
      </c>
      <c r="B1" s="616"/>
      <c r="C1" s="616"/>
      <c r="D1" s="616"/>
      <c r="E1" s="616"/>
    </row>
    <row r="2" spans="1:37" s="449" customFormat="1" x14ac:dyDescent="0.25">
      <c r="B2" s="450" t="s">
        <v>39</v>
      </c>
      <c r="C2" s="451" t="s">
        <v>40</v>
      </c>
      <c r="D2" s="451" t="s">
        <v>41</v>
      </c>
      <c r="E2" s="451" t="s">
        <v>42</v>
      </c>
      <c r="F2" s="452" t="s">
        <v>43</v>
      </c>
      <c r="G2" s="451" t="s">
        <v>44</v>
      </c>
      <c r="H2" s="451" t="s">
        <v>45</v>
      </c>
      <c r="I2" s="451" t="s">
        <v>46</v>
      </c>
      <c r="J2" s="451" t="s">
        <v>47</v>
      </c>
      <c r="K2" s="451" t="s">
        <v>48</v>
      </c>
      <c r="L2" s="451" t="s">
        <v>49</v>
      </c>
      <c r="M2" s="451" t="s">
        <v>50</v>
      </c>
      <c r="N2" s="451" t="s">
        <v>51</v>
      </c>
      <c r="O2" s="451" t="s">
        <v>52</v>
      </c>
      <c r="P2" s="451" t="s">
        <v>53</v>
      </c>
      <c r="Q2" s="451" t="s">
        <v>54</v>
      </c>
      <c r="R2" s="451" t="s">
        <v>55</v>
      </c>
      <c r="S2" s="451" t="s">
        <v>56</v>
      </c>
      <c r="T2" s="451" t="s">
        <v>57</v>
      </c>
      <c r="U2" s="451" t="s">
        <v>58</v>
      </c>
      <c r="V2" s="451" t="s">
        <v>59</v>
      </c>
      <c r="W2" s="453" t="s">
        <v>60</v>
      </c>
      <c r="X2" s="453" t="s">
        <v>61</v>
      </c>
      <c r="Y2" s="454"/>
      <c r="Z2" s="454" t="s">
        <v>62</v>
      </c>
      <c r="AA2" s="454" t="s">
        <v>63</v>
      </c>
      <c r="AB2" s="451" t="s">
        <v>64</v>
      </c>
      <c r="AC2" s="451"/>
      <c r="AD2" s="451" t="s">
        <v>60</v>
      </c>
      <c r="AE2" s="451" t="s">
        <v>60</v>
      </c>
      <c r="AF2" s="455" t="s">
        <v>60</v>
      </c>
      <c r="AH2" s="456" t="s">
        <v>11</v>
      </c>
    </row>
    <row r="3" spans="1:37" s="449" customFormat="1" ht="15.75" thickBot="1" x14ac:dyDescent="0.3">
      <c r="B3" s="457" t="s">
        <v>65</v>
      </c>
      <c r="C3" s="458"/>
      <c r="D3" s="458"/>
      <c r="E3" s="458"/>
      <c r="F3" s="459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60"/>
      <c r="X3" s="460"/>
      <c r="Y3" s="461"/>
      <c r="Z3" s="461"/>
      <c r="AA3" s="461"/>
      <c r="AB3" s="458"/>
      <c r="AC3" s="458"/>
      <c r="AD3" s="458"/>
      <c r="AE3" s="458"/>
      <c r="AF3" s="462"/>
      <c r="AH3" s="66" t="s">
        <v>66</v>
      </c>
      <c r="AI3" s="14" t="s">
        <v>67</v>
      </c>
    </row>
    <row r="4" spans="1:37" ht="15.75" thickBot="1" x14ac:dyDescent="0.3">
      <c r="B4" s="463"/>
      <c r="C4" s="464" t="s">
        <v>68</v>
      </c>
      <c r="D4" s="465">
        <f>'Macromolecular Composition'!D4</f>
        <v>0.58653846153846156</v>
      </c>
      <c r="E4" s="466">
        <f>'Amino acids'!D6</f>
        <v>0.1118</v>
      </c>
      <c r="F4" s="467">
        <f t="shared" ref="F4:F58" si="0">X4</f>
        <v>0.59826774359762835</v>
      </c>
      <c r="G4" s="468" t="s">
        <v>69</v>
      </c>
      <c r="H4" s="468" t="s">
        <v>70</v>
      </c>
      <c r="I4" s="468" t="s">
        <v>71</v>
      </c>
      <c r="J4" s="468" t="s">
        <v>72</v>
      </c>
      <c r="K4" s="468">
        <v>3</v>
      </c>
      <c r="L4" s="468">
        <v>7</v>
      </c>
      <c r="M4" s="468">
        <v>1</v>
      </c>
      <c r="N4" s="468">
        <v>2</v>
      </c>
      <c r="O4" s="468">
        <v>0</v>
      </c>
      <c r="P4" s="468">
        <v>0</v>
      </c>
      <c r="Q4" s="468">
        <f t="shared" ref="Q4:Q32" si="1">(K4*12.011)+(L4*1.008)+(N4*15.999)+(14.007*M4)+(O4*30.974)+(P4*32.066)</f>
        <v>89.094000000000008</v>
      </c>
      <c r="R4" s="72" t="s">
        <v>73</v>
      </c>
      <c r="S4" s="468">
        <f t="shared" ref="S4:S23" si="2">Q4-$Q$96</f>
        <v>71.079000000000008</v>
      </c>
      <c r="T4" s="468">
        <f t="shared" ref="T4:T55" si="3">E4*S4</f>
        <v>7.9466322000000007</v>
      </c>
      <c r="U4" s="469">
        <f>SUM(T4:T23)</f>
        <v>109.6081156</v>
      </c>
      <c r="V4" s="469">
        <f t="shared" ref="V4:V23" si="4">T4/$U$4</f>
        <v>7.2500399778791566E-2</v>
      </c>
      <c r="W4" s="73">
        <f>V4*$D$4</f>
        <v>4.2524272947175826E-2</v>
      </c>
      <c r="X4" s="466">
        <f t="shared" ref="X4:X32" si="5">W4/S4*1000</f>
        <v>0.59826774359762835</v>
      </c>
      <c r="Y4" s="468"/>
      <c r="Z4" s="469"/>
      <c r="AA4" s="469"/>
      <c r="AB4" s="469"/>
      <c r="AC4" s="469"/>
      <c r="AD4" s="469">
        <f t="shared" ref="AD4:AD63" si="6">(F4*Q4)/1000</f>
        <v>5.3302066348087103E-2</v>
      </c>
      <c r="AE4" s="469"/>
      <c r="AF4" s="470"/>
    </row>
    <row r="5" spans="1:37" x14ac:dyDescent="0.25">
      <c r="B5" s="463"/>
      <c r="C5" s="469"/>
      <c r="D5" s="471"/>
      <c r="E5" s="466">
        <f>'Amino acids'!D7</f>
        <v>6.6200000000000009E-2</v>
      </c>
      <c r="F5" s="467">
        <f t="shared" si="0"/>
        <v>0.35425156195136848</v>
      </c>
      <c r="G5" s="468" t="s">
        <v>74</v>
      </c>
      <c r="H5" s="468" t="s">
        <v>70</v>
      </c>
      <c r="I5" s="468" t="s">
        <v>71</v>
      </c>
      <c r="J5" s="468" t="s">
        <v>75</v>
      </c>
      <c r="K5" s="468">
        <v>6</v>
      </c>
      <c r="L5" s="468">
        <v>15</v>
      </c>
      <c r="M5" s="468">
        <v>4</v>
      </c>
      <c r="N5" s="468">
        <v>2</v>
      </c>
      <c r="O5" s="468">
        <v>0</v>
      </c>
      <c r="P5" s="468">
        <v>0</v>
      </c>
      <c r="Q5" s="468">
        <f t="shared" si="1"/>
        <v>175.21200000000002</v>
      </c>
      <c r="R5" s="72" t="s">
        <v>73</v>
      </c>
      <c r="S5" s="468">
        <f t="shared" si="2"/>
        <v>157.197</v>
      </c>
      <c r="T5" s="468">
        <f t="shared" si="3"/>
        <v>10.406441400000002</v>
      </c>
      <c r="U5" s="469"/>
      <c r="V5" s="469">
        <f t="shared" si="4"/>
        <v>9.4942252615462366E-2</v>
      </c>
      <c r="W5" s="73">
        <f t="shared" ref="W5:W23" si="7">V5*$D$4</f>
        <v>5.5687282784069272E-2</v>
      </c>
      <c r="X5" s="466">
        <f t="shared" si="5"/>
        <v>0.35425156195136848</v>
      </c>
      <c r="Y5" s="468"/>
      <c r="Z5" s="469"/>
      <c r="AA5" s="469"/>
      <c r="AB5" s="469"/>
      <c r="AC5" s="469"/>
      <c r="AD5" s="469">
        <f t="shared" si="6"/>
        <v>6.2069124672623183E-2</v>
      </c>
      <c r="AE5" s="469"/>
      <c r="AF5" s="470"/>
    </row>
    <row r="6" spans="1:37" x14ac:dyDescent="0.25">
      <c r="B6" s="463"/>
      <c r="C6" s="469"/>
      <c r="D6" s="466"/>
      <c r="E6" s="466">
        <f>'Amino acids'!D8</f>
        <v>2.9700000000000001E-2</v>
      </c>
      <c r="F6" s="467">
        <f t="shared" si="0"/>
        <v>0.15893159199328769</v>
      </c>
      <c r="G6" s="468" t="s">
        <v>76</v>
      </c>
      <c r="H6" s="468" t="s">
        <v>70</v>
      </c>
      <c r="I6" s="468" t="s">
        <v>71</v>
      </c>
      <c r="J6" s="468" t="s">
        <v>77</v>
      </c>
      <c r="K6" s="468">
        <v>4</v>
      </c>
      <c r="L6" s="468">
        <v>8</v>
      </c>
      <c r="M6" s="468">
        <v>2</v>
      </c>
      <c r="N6" s="468">
        <v>3</v>
      </c>
      <c r="O6" s="468">
        <v>0</v>
      </c>
      <c r="P6" s="468">
        <v>0</v>
      </c>
      <c r="Q6" s="468">
        <f t="shared" si="1"/>
        <v>132.119</v>
      </c>
      <c r="R6" s="72" t="s">
        <v>73</v>
      </c>
      <c r="S6" s="468">
        <f t="shared" si="2"/>
        <v>114.104</v>
      </c>
      <c r="T6" s="468">
        <f t="shared" si="3"/>
        <v>3.3888888000000001</v>
      </c>
      <c r="U6" s="469"/>
      <c r="V6" s="469">
        <f t="shared" si="4"/>
        <v>3.0918228832318324E-2</v>
      </c>
      <c r="W6" s="73">
        <f t="shared" si="7"/>
        <v>1.8134730372802096E-2</v>
      </c>
      <c r="X6" s="466">
        <f t="shared" si="5"/>
        <v>0.15893159199328769</v>
      </c>
      <c r="Y6" s="468"/>
      <c r="Z6" s="469"/>
      <c r="AA6" s="469"/>
      <c r="AB6" s="469"/>
      <c r="AC6" s="469"/>
      <c r="AD6" s="469">
        <f t="shared" si="6"/>
        <v>2.0997883002561175E-2</v>
      </c>
      <c r="AE6" s="469"/>
      <c r="AF6" s="470"/>
    </row>
    <row r="7" spans="1:37" x14ac:dyDescent="0.25">
      <c r="B7" s="463"/>
      <c r="C7" s="469"/>
      <c r="D7" s="466"/>
      <c r="E7" s="466">
        <f>'Amino acids'!D9</f>
        <v>5.3199999999999997E-2</v>
      </c>
      <c r="F7" s="467">
        <f t="shared" si="0"/>
        <v>0.28468554525396983</v>
      </c>
      <c r="G7" s="468" t="s">
        <v>78</v>
      </c>
      <c r="H7" s="468" t="s">
        <v>70</v>
      </c>
      <c r="I7" s="468" t="s">
        <v>71</v>
      </c>
      <c r="J7" s="468" t="s">
        <v>79</v>
      </c>
      <c r="K7" s="468">
        <v>4</v>
      </c>
      <c r="L7" s="468">
        <v>6</v>
      </c>
      <c r="M7" s="468">
        <v>1</v>
      </c>
      <c r="N7" s="468">
        <v>4</v>
      </c>
      <c r="O7" s="468">
        <v>0</v>
      </c>
      <c r="P7" s="468">
        <v>0</v>
      </c>
      <c r="Q7" s="468">
        <f t="shared" si="1"/>
        <v>132.095</v>
      </c>
      <c r="R7" s="72" t="s">
        <v>73</v>
      </c>
      <c r="S7" s="468">
        <f t="shared" si="2"/>
        <v>114.08</v>
      </c>
      <c r="T7" s="468">
        <f t="shared" si="3"/>
        <v>6.0690559999999998</v>
      </c>
      <c r="U7" s="469"/>
      <c r="V7" s="469">
        <f t="shared" si="4"/>
        <v>5.5370498496189816E-2</v>
      </c>
      <c r="W7" s="73">
        <f t="shared" si="7"/>
        <v>3.2476927002572875E-2</v>
      </c>
      <c r="X7" s="466">
        <f t="shared" si="5"/>
        <v>0.28468554525396983</v>
      </c>
      <c r="Y7" s="468"/>
      <c r="Z7" s="469"/>
      <c r="AA7" s="469"/>
      <c r="AB7" s="469"/>
      <c r="AC7" s="469"/>
      <c r="AD7" s="469">
        <f t="shared" si="6"/>
        <v>3.7605537100323147E-2</v>
      </c>
      <c r="AE7" s="469"/>
      <c r="AF7" s="470"/>
    </row>
    <row r="8" spans="1:37" x14ac:dyDescent="0.25">
      <c r="B8" s="463"/>
      <c r="C8" s="469"/>
      <c r="D8" s="466"/>
      <c r="E8" s="466">
        <f>'Amino acids'!D10</f>
        <v>1.04E-2</v>
      </c>
      <c r="F8" s="467">
        <f t="shared" si="0"/>
        <v>5.5652813357918898E-2</v>
      </c>
      <c r="G8" s="468" t="s">
        <v>80</v>
      </c>
      <c r="H8" s="468" t="s">
        <v>70</v>
      </c>
      <c r="I8" s="468" t="s">
        <v>71</v>
      </c>
      <c r="J8" s="468" t="s">
        <v>81</v>
      </c>
      <c r="K8" s="468">
        <v>3</v>
      </c>
      <c r="L8" s="468">
        <v>7</v>
      </c>
      <c r="M8" s="468">
        <v>1</v>
      </c>
      <c r="N8" s="468">
        <v>2</v>
      </c>
      <c r="O8" s="468">
        <v>0</v>
      </c>
      <c r="P8" s="468">
        <v>1</v>
      </c>
      <c r="Q8" s="468">
        <f t="shared" si="1"/>
        <v>121.16000000000001</v>
      </c>
      <c r="R8" s="72" t="s">
        <v>73</v>
      </c>
      <c r="S8" s="468">
        <f t="shared" si="2"/>
        <v>103.14500000000001</v>
      </c>
      <c r="T8" s="468">
        <f t="shared" si="3"/>
        <v>1.072708</v>
      </c>
      <c r="U8" s="469"/>
      <c r="V8" s="469">
        <f t="shared" si="4"/>
        <v>9.7867570674666348E-3</v>
      </c>
      <c r="W8" s="73">
        <f t="shared" si="7"/>
        <v>5.7403094338025458E-3</v>
      </c>
      <c r="X8" s="466">
        <f t="shared" si="5"/>
        <v>5.5652813357918898E-2</v>
      </c>
      <c r="Y8" s="468"/>
      <c r="Z8" s="469"/>
      <c r="AA8" s="469"/>
      <c r="AB8" s="469"/>
      <c r="AC8" s="469"/>
      <c r="AD8" s="469">
        <f t="shared" si="6"/>
        <v>6.7428948664454546E-3</v>
      </c>
      <c r="AE8" s="469"/>
      <c r="AF8" s="470"/>
    </row>
    <row r="9" spans="1:37" x14ac:dyDescent="0.25">
      <c r="B9" s="463"/>
      <c r="C9" s="469"/>
      <c r="D9" s="466"/>
      <c r="E9" s="466">
        <f>'Amino acids'!D11</f>
        <v>4.7E-2</v>
      </c>
      <c r="F9" s="467">
        <f t="shared" si="0"/>
        <v>0.25150790652136429</v>
      </c>
      <c r="G9" s="468" t="s">
        <v>82</v>
      </c>
      <c r="H9" s="468" t="s">
        <v>70</v>
      </c>
      <c r="I9" s="468" t="s">
        <v>71</v>
      </c>
      <c r="J9" s="468" t="s">
        <v>83</v>
      </c>
      <c r="K9" s="468">
        <v>5</v>
      </c>
      <c r="L9" s="468">
        <v>10</v>
      </c>
      <c r="M9" s="468">
        <v>2</v>
      </c>
      <c r="N9" s="468">
        <v>3</v>
      </c>
      <c r="O9" s="468">
        <v>0</v>
      </c>
      <c r="P9" s="468">
        <v>0</v>
      </c>
      <c r="Q9" s="468">
        <f t="shared" si="1"/>
        <v>146.14599999999999</v>
      </c>
      <c r="R9" s="72" t="s">
        <v>73</v>
      </c>
      <c r="S9" s="468">
        <f t="shared" si="2"/>
        <v>128.13099999999997</v>
      </c>
      <c r="T9" s="468">
        <f t="shared" si="3"/>
        <v>6.0221569999999991</v>
      </c>
      <c r="U9" s="469"/>
      <c r="V9" s="469">
        <f t="shared" si="4"/>
        <v>5.4942619595587674E-2</v>
      </c>
      <c r="W9" s="73">
        <f t="shared" si="7"/>
        <v>3.2225959570488925E-2</v>
      </c>
      <c r="X9" s="466">
        <f t="shared" si="5"/>
        <v>0.25150790652136429</v>
      </c>
      <c r="Y9" s="468"/>
      <c r="Z9" s="469"/>
      <c r="AA9" s="469"/>
      <c r="AB9" s="469"/>
      <c r="AC9" s="469"/>
      <c r="AD9" s="469">
        <f t="shared" si="6"/>
        <v>3.6756874506471297E-2</v>
      </c>
      <c r="AE9" s="469"/>
      <c r="AF9" s="470"/>
      <c r="AI9" s="14"/>
    </row>
    <row r="10" spans="1:37" x14ac:dyDescent="0.25">
      <c r="B10" s="463"/>
      <c r="C10" s="469"/>
      <c r="D10" s="466"/>
      <c r="E10" s="466">
        <f>'Amino acids'!D12</f>
        <v>5.6400000000000006E-2</v>
      </c>
      <c r="F10" s="467">
        <f t="shared" si="0"/>
        <v>0.30180948782563716</v>
      </c>
      <c r="G10" s="468" t="s">
        <v>84</v>
      </c>
      <c r="H10" s="468" t="s">
        <v>70</v>
      </c>
      <c r="I10" s="468" t="s">
        <v>71</v>
      </c>
      <c r="J10" s="468" t="s">
        <v>85</v>
      </c>
      <c r="K10" s="468">
        <v>5</v>
      </c>
      <c r="L10" s="468">
        <v>8</v>
      </c>
      <c r="M10" s="468">
        <v>1</v>
      </c>
      <c r="N10" s="468">
        <v>4</v>
      </c>
      <c r="O10" s="468">
        <v>0</v>
      </c>
      <c r="P10" s="468">
        <v>0</v>
      </c>
      <c r="Q10" s="468">
        <f t="shared" si="1"/>
        <v>146.12200000000001</v>
      </c>
      <c r="R10" s="72" t="s">
        <v>73</v>
      </c>
      <c r="S10" s="468">
        <f t="shared" si="2"/>
        <v>128.10700000000003</v>
      </c>
      <c r="T10" s="468">
        <f t="shared" si="3"/>
        <v>7.2252348000000026</v>
      </c>
      <c r="U10" s="469"/>
      <c r="V10" s="469">
        <f t="shared" si="4"/>
        <v>6.5918794064186992E-2</v>
      </c>
      <c r="W10" s="73">
        <f t="shared" si="7"/>
        <v>3.8663908056878908E-2</v>
      </c>
      <c r="X10" s="466">
        <f t="shared" si="5"/>
        <v>0.30180948782563716</v>
      </c>
      <c r="Y10" s="468"/>
      <c r="Z10" s="469"/>
      <c r="AA10" s="469"/>
      <c r="AB10" s="469"/>
      <c r="AC10" s="469"/>
      <c r="AD10" s="469">
        <f t="shared" si="6"/>
        <v>4.4101005980057756E-2</v>
      </c>
      <c r="AE10" s="469"/>
      <c r="AF10" s="470"/>
    </row>
    <row r="11" spans="1:37" x14ac:dyDescent="0.25">
      <c r="B11" s="463"/>
      <c r="C11" s="469"/>
      <c r="D11" s="466"/>
      <c r="E11" s="466">
        <f>'Amino acids'!D13</f>
        <v>8.0599999999999991E-2</v>
      </c>
      <c r="F11" s="467">
        <f t="shared" si="0"/>
        <v>0.43130930352387148</v>
      </c>
      <c r="G11" s="468" t="s">
        <v>86</v>
      </c>
      <c r="H11" s="468" t="s">
        <v>70</v>
      </c>
      <c r="I11" s="468" t="s">
        <v>71</v>
      </c>
      <c r="J11" s="468" t="s">
        <v>87</v>
      </c>
      <c r="K11" s="468">
        <v>2</v>
      </c>
      <c r="L11" s="468">
        <v>5</v>
      </c>
      <c r="M11" s="468">
        <v>1</v>
      </c>
      <c r="N11" s="468">
        <v>2</v>
      </c>
      <c r="O11" s="468">
        <v>0</v>
      </c>
      <c r="P11" s="468">
        <v>0</v>
      </c>
      <c r="Q11" s="468">
        <f t="shared" si="1"/>
        <v>75.067000000000007</v>
      </c>
      <c r="R11" s="72" t="s">
        <v>73</v>
      </c>
      <c r="S11" s="468">
        <f t="shared" si="2"/>
        <v>57.052000000000007</v>
      </c>
      <c r="T11" s="468">
        <f t="shared" si="3"/>
        <v>4.5983912</v>
      </c>
      <c r="U11" s="469"/>
      <c r="V11" s="469">
        <f t="shared" si="4"/>
        <v>4.195301757381914E-2</v>
      </c>
      <c r="W11" s="73">
        <f t="shared" si="7"/>
        <v>2.4607058384643919E-2</v>
      </c>
      <c r="X11" s="466">
        <f t="shared" si="5"/>
        <v>0.43130930352387148</v>
      </c>
      <c r="Y11" s="468"/>
      <c r="Z11" s="469"/>
      <c r="AA11" s="469"/>
      <c r="AB11" s="469"/>
      <c r="AC11" s="469"/>
      <c r="AD11" s="469">
        <f t="shared" si="6"/>
        <v>3.2377095487626462E-2</v>
      </c>
      <c r="AE11" s="469"/>
      <c r="AF11" s="470"/>
      <c r="AH11" s="472" t="s">
        <v>88</v>
      </c>
      <c r="AI11" s="436"/>
      <c r="AJ11" s="436" t="s">
        <v>89</v>
      </c>
    </row>
    <row r="12" spans="1:37" x14ac:dyDescent="0.25">
      <c r="B12" s="463"/>
      <c r="C12" s="469"/>
      <c r="D12" s="466"/>
      <c r="E12" s="466">
        <f>'Amino acids'!D14</f>
        <v>2.3600000000000003E-2</v>
      </c>
      <c r="F12" s="467">
        <f t="shared" si="0"/>
        <v>0.12628907646604678</v>
      </c>
      <c r="G12" s="468" t="s">
        <v>90</v>
      </c>
      <c r="H12" s="468" t="s">
        <v>70</v>
      </c>
      <c r="I12" s="468" t="s">
        <v>71</v>
      </c>
      <c r="J12" s="468" t="s">
        <v>91</v>
      </c>
      <c r="K12" s="468">
        <v>6</v>
      </c>
      <c r="L12" s="468">
        <v>9</v>
      </c>
      <c r="M12" s="468">
        <v>3</v>
      </c>
      <c r="N12" s="468">
        <v>2</v>
      </c>
      <c r="O12" s="468">
        <v>0</v>
      </c>
      <c r="P12" s="468">
        <v>0</v>
      </c>
      <c r="Q12" s="468">
        <f t="shared" si="1"/>
        <v>155.15700000000001</v>
      </c>
      <c r="R12" s="72" t="s">
        <v>73</v>
      </c>
      <c r="S12" s="468">
        <f t="shared" si="2"/>
        <v>137.142</v>
      </c>
      <c r="T12" s="468">
        <f t="shared" si="3"/>
        <v>3.2365512000000005</v>
      </c>
      <c r="U12" s="469"/>
      <c r="V12" s="469">
        <f t="shared" si="4"/>
        <v>2.9528390140483359E-2</v>
      </c>
      <c r="W12" s="73">
        <f t="shared" si="7"/>
        <v>1.7319536524706587E-2</v>
      </c>
      <c r="X12" s="466">
        <f t="shared" si="5"/>
        <v>0.12628907646604678</v>
      </c>
      <c r="Y12" s="468"/>
      <c r="Z12" s="469"/>
      <c r="AA12" s="469"/>
      <c r="AB12" s="469"/>
      <c r="AC12" s="469"/>
      <c r="AD12" s="469">
        <f t="shared" si="6"/>
        <v>1.9594634237242423E-2</v>
      </c>
      <c r="AE12" s="469"/>
      <c r="AF12" s="470"/>
      <c r="AH12" s="436" t="s">
        <v>92</v>
      </c>
      <c r="AI12" s="473">
        <f>SUM(AD4:AD86)</f>
        <v>25.569099163336915</v>
      </c>
      <c r="AJ12" s="473">
        <f>SUM(AF:AF)</f>
        <v>0.86634615384615388</v>
      </c>
      <c r="AK12" s="474"/>
    </row>
    <row r="13" spans="1:37" x14ac:dyDescent="0.25">
      <c r="B13" s="463"/>
      <c r="C13" s="469"/>
      <c r="D13" s="466"/>
      <c r="E13" s="466">
        <f>'Amino acids'!D15</f>
        <v>4.5700000000000005E-2</v>
      </c>
      <c r="F13" s="467">
        <f t="shared" si="0"/>
        <v>0.24455130485162443</v>
      </c>
      <c r="G13" s="468" t="s">
        <v>93</v>
      </c>
      <c r="H13" s="468" t="s">
        <v>70</v>
      </c>
      <c r="I13" s="468" t="s">
        <v>71</v>
      </c>
      <c r="J13" s="468" t="s">
        <v>94</v>
      </c>
      <c r="K13" s="468">
        <v>6</v>
      </c>
      <c r="L13" s="468">
        <v>13</v>
      </c>
      <c r="M13" s="468">
        <v>1</v>
      </c>
      <c r="N13" s="468">
        <v>2</v>
      </c>
      <c r="O13" s="468">
        <v>0</v>
      </c>
      <c r="P13" s="468">
        <v>0</v>
      </c>
      <c r="Q13" s="468">
        <f t="shared" si="1"/>
        <v>131.17500000000001</v>
      </c>
      <c r="R13" s="72" t="s">
        <v>73</v>
      </c>
      <c r="S13" s="468">
        <f t="shared" si="2"/>
        <v>113.16000000000001</v>
      </c>
      <c r="T13" s="468">
        <f t="shared" si="3"/>
        <v>5.171412000000001</v>
      </c>
      <c r="U13" s="469"/>
      <c r="V13" s="469">
        <f t="shared" si="4"/>
        <v>4.7180922431623307E-2</v>
      </c>
      <c r="W13" s="73">
        <f t="shared" si="7"/>
        <v>2.7673425657009827E-2</v>
      </c>
      <c r="X13" s="466">
        <f t="shared" si="5"/>
        <v>0.24455130485162443</v>
      </c>
      <c r="Y13" s="468"/>
      <c r="Z13" s="469"/>
      <c r="AA13" s="469"/>
      <c r="AB13" s="79"/>
      <c r="AC13" s="469"/>
      <c r="AD13" s="469">
        <f t="shared" si="6"/>
        <v>3.2079017413911837E-2</v>
      </c>
      <c r="AE13" s="469"/>
      <c r="AF13" s="470"/>
      <c r="AH13" s="436" t="s">
        <v>95</v>
      </c>
      <c r="AI13" s="473">
        <f>SUM(AD91:AD96)</f>
        <v>24.590230825759591</v>
      </c>
      <c r="AJ13" s="473"/>
      <c r="AK13" s="474"/>
    </row>
    <row r="14" spans="1:37" x14ac:dyDescent="0.25">
      <c r="B14" s="463"/>
      <c r="C14" s="469"/>
      <c r="D14" s="466"/>
      <c r="E14" s="466">
        <f>'Amino acids'!D16</f>
        <v>0.11749999999999998</v>
      </c>
      <c r="F14" s="467">
        <f t="shared" si="0"/>
        <v>0.62876976630341064</v>
      </c>
      <c r="G14" s="468" t="s">
        <v>96</v>
      </c>
      <c r="H14" s="468" t="s">
        <v>70</v>
      </c>
      <c r="I14" s="468" t="s">
        <v>71</v>
      </c>
      <c r="J14" s="468" t="s">
        <v>94</v>
      </c>
      <c r="K14" s="468">
        <v>6</v>
      </c>
      <c r="L14" s="468">
        <v>13</v>
      </c>
      <c r="M14" s="468">
        <v>1</v>
      </c>
      <c r="N14" s="468">
        <v>2</v>
      </c>
      <c r="O14" s="468">
        <v>0</v>
      </c>
      <c r="P14" s="468">
        <v>0</v>
      </c>
      <c r="Q14" s="468">
        <f t="shared" si="1"/>
        <v>131.17500000000001</v>
      </c>
      <c r="R14" s="72" t="s">
        <v>73</v>
      </c>
      <c r="S14" s="468">
        <f t="shared" si="2"/>
        <v>113.16000000000001</v>
      </c>
      <c r="T14" s="468">
        <f t="shared" si="3"/>
        <v>13.296299999999999</v>
      </c>
      <c r="U14" s="469"/>
      <c r="V14" s="469">
        <f t="shared" si="4"/>
        <v>0.12130762331981919</v>
      </c>
      <c r="W14" s="73">
        <f t="shared" si="7"/>
        <v>7.1151586754893956E-2</v>
      </c>
      <c r="X14" s="466">
        <f t="shared" si="5"/>
        <v>0.62876976630341064</v>
      </c>
      <c r="Y14" s="468"/>
      <c r="Z14" s="469"/>
      <c r="AA14" s="469"/>
      <c r="AB14" s="79"/>
      <c r="AC14" s="469"/>
      <c r="AD14" s="469">
        <f t="shared" si="6"/>
        <v>8.2478874094849899E-2</v>
      </c>
      <c r="AE14" s="469"/>
      <c r="AF14" s="470"/>
      <c r="AH14" s="436" t="s">
        <v>89</v>
      </c>
      <c r="AI14" s="473">
        <f>AI12-AI13</f>
        <v>0.97886833757732461</v>
      </c>
      <c r="AJ14" s="473"/>
      <c r="AK14" s="475"/>
    </row>
    <row r="15" spans="1:37" x14ac:dyDescent="0.25">
      <c r="B15" s="463"/>
      <c r="C15" s="469"/>
      <c r="D15" s="466"/>
      <c r="E15" s="466">
        <f>'Amino acids'!D17</f>
        <v>3.3700000000000001E-2</v>
      </c>
      <c r="F15" s="467">
        <f t="shared" si="0"/>
        <v>0.18033652020787183</v>
      </c>
      <c r="G15" s="468" t="s">
        <v>97</v>
      </c>
      <c r="H15" s="468" t="s">
        <v>70</v>
      </c>
      <c r="I15" s="468" t="s">
        <v>71</v>
      </c>
      <c r="J15" s="468" t="s">
        <v>98</v>
      </c>
      <c r="K15" s="468">
        <v>6</v>
      </c>
      <c r="L15" s="468">
        <v>15</v>
      </c>
      <c r="M15" s="468">
        <v>2</v>
      </c>
      <c r="N15" s="468">
        <v>2</v>
      </c>
      <c r="O15" s="468">
        <v>0</v>
      </c>
      <c r="P15" s="468">
        <v>0</v>
      </c>
      <c r="Q15" s="468">
        <f t="shared" si="1"/>
        <v>147.19800000000001</v>
      </c>
      <c r="R15" s="72" t="s">
        <v>73</v>
      </c>
      <c r="S15" s="468">
        <f t="shared" si="2"/>
        <v>129.18299999999999</v>
      </c>
      <c r="T15" s="468">
        <f t="shared" si="3"/>
        <v>4.3534670999999996</v>
      </c>
      <c r="U15" s="469"/>
      <c r="V15" s="469">
        <f t="shared" si="4"/>
        <v>3.9718474094449258E-2</v>
      </c>
      <c r="W15" s="73">
        <f t="shared" si="7"/>
        <v>2.3296412690013507E-2</v>
      </c>
      <c r="X15" s="466">
        <f t="shared" si="5"/>
        <v>0.18033652020787183</v>
      </c>
      <c r="Y15" s="468"/>
      <c r="Z15" s="469"/>
      <c r="AA15" s="469"/>
      <c r="AB15" s="79"/>
      <c r="AC15" s="469"/>
      <c r="AD15" s="469">
        <f t="shared" si="6"/>
        <v>2.6545175101558318E-2</v>
      </c>
      <c r="AE15" s="469"/>
      <c r="AF15" s="470"/>
      <c r="AH15" s="436"/>
      <c r="AI15" s="473"/>
      <c r="AJ15" s="473"/>
      <c r="AK15" s="474"/>
    </row>
    <row r="16" spans="1:37" x14ac:dyDescent="0.25">
      <c r="B16" s="463"/>
      <c r="C16" s="469"/>
      <c r="D16" s="466"/>
      <c r="E16" s="466">
        <f>'Amino acids'!D18</f>
        <v>2.2800000000000001E-2</v>
      </c>
      <c r="F16" s="467">
        <f t="shared" si="0"/>
        <v>0.1220080908231299</v>
      </c>
      <c r="G16" s="468" t="s">
        <v>99</v>
      </c>
      <c r="H16" s="468" t="s">
        <v>70</v>
      </c>
      <c r="I16" s="468" t="s">
        <v>71</v>
      </c>
      <c r="J16" s="468" t="s">
        <v>100</v>
      </c>
      <c r="K16" s="468">
        <v>5</v>
      </c>
      <c r="L16" s="468">
        <v>11</v>
      </c>
      <c r="M16" s="468">
        <v>1</v>
      </c>
      <c r="N16" s="468">
        <v>2</v>
      </c>
      <c r="O16" s="468">
        <v>0</v>
      </c>
      <c r="P16" s="468">
        <v>1</v>
      </c>
      <c r="Q16" s="468">
        <f t="shared" si="1"/>
        <v>149.214</v>
      </c>
      <c r="R16" s="72" t="s">
        <v>73</v>
      </c>
      <c r="S16" s="468">
        <f t="shared" si="2"/>
        <v>131.19900000000001</v>
      </c>
      <c r="T16" s="468">
        <f t="shared" si="3"/>
        <v>2.9913372000000003</v>
      </c>
      <c r="U16" s="469"/>
      <c r="V16" s="469">
        <f t="shared" si="4"/>
        <v>2.7291201783967173E-2</v>
      </c>
      <c r="W16" s="73">
        <f t="shared" si="7"/>
        <v>1.6007339507903822E-2</v>
      </c>
      <c r="X16" s="466">
        <f t="shared" si="5"/>
        <v>0.1220080908231299</v>
      </c>
      <c r="Y16" s="468"/>
      <c r="Z16" s="469"/>
      <c r="AA16" s="469"/>
      <c r="AB16" s="79"/>
      <c r="AC16" s="469"/>
      <c r="AD16" s="469">
        <f t="shared" si="6"/>
        <v>1.8205315264082506E-2</v>
      </c>
      <c r="AE16" s="469"/>
      <c r="AF16" s="470"/>
      <c r="AH16" s="476" t="s">
        <v>101</v>
      </c>
      <c r="AI16" s="436"/>
      <c r="AJ16" s="473"/>
    </row>
    <row r="17" spans="2:36" x14ac:dyDescent="0.25">
      <c r="B17" s="463"/>
      <c r="C17" s="469"/>
      <c r="D17" s="466"/>
      <c r="E17" s="466">
        <f>'Amino acids'!D19</f>
        <v>3.5700000000000003E-2</v>
      </c>
      <c r="F17" s="467">
        <f t="shared" si="0"/>
        <v>0.19103898431516397</v>
      </c>
      <c r="G17" s="468" t="s">
        <v>102</v>
      </c>
      <c r="H17" s="468" t="s">
        <v>70</v>
      </c>
      <c r="I17" s="468" t="s">
        <v>71</v>
      </c>
      <c r="J17" s="468" t="s">
        <v>103</v>
      </c>
      <c r="K17" s="468">
        <v>9</v>
      </c>
      <c r="L17" s="468">
        <v>11</v>
      </c>
      <c r="M17" s="468">
        <v>1</v>
      </c>
      <c r="N17" s="468">
        <v>2</v>
      </c>
      <c r="O17" s="468">
        <v>0</v>
      </c>
      <c r="P17" s="468">
        <v>0</v>
      </c>
      <c r="Q17" s="468">
        <f t="shared" si="1"/>
        <v>165.19199999999998</v>
      </c>
      <c r="R17" s="72" t="s">
        <v>73</v>
      </c>
      <c r="S17" s="468">
        <f t="shared" si="2"/>
        <v>147.17699999999996</v>
      </c>
      <c r="T17" s="468">
        <f t="shared" si="3"/>
        <v>5.2542188999999988</v>
      </c>
      <c r="U17" s="469"/>
      <c r="V17" s="469">
        <f t="shared" si="4"/>
        <v>4.7936403898909824E-2</v>
      </c>
      <c r="W17" s="73">
        <f t="shared" si="7"/>
        <v>2.8116544594552879E-2</v>
      </c>
      <c r="X17" s="466">
        <f t="shared" si="5"/>
        <v>0.19103898431516397</v>
      </c>
      <c r="Y17" s="468"/>
      <c r="Z17" s="469"/>
      <c r="AA17" s="469"/>
      <c r="AB17" s="79"/>
      <c r="AC17" s="469"/>
      <c r="AD17" s="469">
        <f t="shared" si="6"/>
        <v>3.1558111896990565E-2</v>
      </c>
      <c r="AE17" s="469"/>
      <c r="AF17" s="470"/>
      <c r="AH17" s="476" t="s">
        <v>92</v>
      </c>
      <c r="AI17" s="436">
        <f>SUM(AD85:AD86)</f>
        <v>24.364567982999997</v>
      </c>
      <c r="AJ17" s="473"/>
    </row>
    <row r="18" spans="2:36" x14ac:dyDescent="0.25">
      <c r="B18" s="463"/>
      <c r="C18" s="469"/>
      <c r="D18" s="466"/>
      <c r="E18" s="466">
        <f>'Amino acids'!D20</f>
        <v>4.9199999999999994E-2</v>
      </c>
      <c r="F18" s="467">
        <f t="shared" si="0"/>
        <v>0.26328061703938554</v>
      </c>
      <c r="G18" s="468" t="s">
        <v>104</v>
      </c>
      <c r="H18" s="468" t="s">
        <v>70</v>
      </c>
      <c r="I18" s="468" t="s">
        <v>71</v>
      </c>
      <c r="J18" s="468" t="s">
        <v>105</v>
      </c>
      <c r="K18" s="468">
        <v>5</v>
      </c>
      <c r="L18" s="468">
        <v>9</v>
      </c>
      <c r="M18" s="468">
        <v>1</v>
      </c>
      <c r="N18" s="468">
        <v>2</v>
      </c>
      <c r="O18" s="468">
        <v>0</v>
      </c>
      <c r="P18" s="468">
        <v>0</v>
      </c>
      <c r="Q18" s="468">
        <f t="shared" si="1"/>
        <v>115.13200000000001</v>
      </c>
      <c r="R18" s="72" t="s">
        <v>73</v>
      </c>
      <c r="S18" s="468">
        <f t="shared" si="2"/>
        <v>97.117000000000004</v>
      </c>
      <c r="T18" s="468">
        <f t="shared" si="3"/>
        <v>4.7781563999999994</v>
      </c>
      <c r="U18" s="469"/>
      <c r="V18" s="469">
        <f t="shared" si="4"/>
        <v>4.3593089561335355E-2</v>
      </c>
      <c r="W18" s="73">
        <f t="shared" si="7"/>
        <v>2.5569023685014007E-2</v>
      </c>
      <c r="X18" s="466">
        <f t="shared" si="5"/>
        <v>0.26328061703938554</v>
      </c>
      <c r="Y18" s="468"/>
      <c r="Z18" s="469"/>
      <c r="AA18" s="466"/>
      <c r="AB18" s="79"/>
      <c r="AC18" s="469"/>
      <c r="AD18" s="469">
        <f t="shared" si="6"/>
        <v>3.031202400097854E-2</v>
      </c>
      <c r="AE18" s="469"/>
      <c r="AF18" s="470"/>
      <c r="AH18" s="476" t="s">
        <v>95</v>
      </c>
      <c r="AI18" s="436">
        <f>SUM(AD91:AD93)</f>
        <v>24.364567982999997</v>
      </c>
      <c r="AJ18" s="473"/>
    </row>
    <row r="19" spans="2:36" x14ac:dyDescent="0.25">
      <c r="B19" s="463"/>
      <c r="C19" s="469"/>
      <c r="D19" s="466"/>
      <c r="E19" s="466">
        <f>'Amino acids'!D21</f>
        <v>5.6299999999999996E-2</v>
      </c>
      <c r="F19" s="467">
        <f t="shared" si="0"/>
        <v>0.30127436462027252</v>
      </c>
      <c r="G19" s="468" t="s">
        <v>106</v>
      </c>
      <c r="H19" s="468" t="s">
        <v>70</v>
      </c>
      <c r="I19" s="468" t="s">
        <v>71</v>
      </c>
      <c r="J19" s="468" t="s">
        <v>107</v>
      </c>
      <c r="K19" s="468">
        <v>3</v>
      </c>
      <c r="L19" s="468">
        <v>7</v>
      </c>
      <c r="M19" s="468">
        <v>1</v>
      </c>
      <c r="N19" s="468">
        <v>3</v>
      </c>
      <c r="O19" s="468">
        <v>0</v>
      </c>
      <c r="P19" s="468">
        <v>0</v>
      </c>
      <c r="Q19" s="468">
        <f t="shared" si="1"/>
        <v>105.093</v>
      </c>
      <c r="R19" s="72" t="s">
        <v>73</v>
      </c>
      <c r="S19" s="468">
        <f t="shared" si="2"/>
        <v>87.078000000000003</v>
      </c>
      <c r="T19" s="468">
        <f t="shared" si="3"/>
        <v>4.9024913999999997</v>
      </c>
      <c r="U19" s="469"/>
      <c r="V19" s="469">
        <f t="shared" si="4"/>
        <v>4.4727448995574189E-2</v>
      </c>
      <c r="W19" s="73">
        <f t="shared" si="7"/>
        <v>2.6234369122404094E-2</v>
      </c>
      <c r="X19" s="466">
        <f t="shared" si="5"/>
        <v>0.30127436462027252</v>
      </c>
      <c r="Y19" s="468"/>
      <c r="Z19" s="469"/>
      <c r="AA19" s="469"/>
      <c r="AB19" s="79"/>
      <c r="AC19" s="469"/>
      <c r="AD19" s="469">
        <f t="shared" si="6"/>
        <v>3.1661826801038302E-2</v>
      </c>
      <c r="AE19" s="469"/>
      <c r="AF19" s="470"/>
      <c r="AH19" s="476" t="s">
        <v>89</v>
      </c>
      <c r="AI19" s="436">
        <f>AI17-AI18</f>
        <v>0</v>
      </c>
      <c r="AJ19" s="473"/>
    </row>
    <row r="20" spans="2:36" x14ac:dyDescent="0.25">
      <c r="B20" s="463"/>
      <c r="C20" s="469"/>
      <c r="D20" s="466"/>
      <c r="E20" s="466">
        <f>'Amino acids'!D22</f>
        <v>4.7899999999999998E-2</v>
      </c>
      <c r="F20" s="467">
        <f t="shared" si="0"/>
        <v>0.25632401536964577</v>
      </c>
      <c r="G20" s="468" t="s">
        <v>108</v>
      </c>
      <c r="H20" s="468" t="s">
        <v>70</v>
      </c>
      <c r="I20" s="468" t="s">
        <v>71</v>
      </c>
      <c r="J20" s="468" t="s">
        <v>109</v>
      </c>
      <c r="K20" s="468">
        <v>4</v>
      </c>
      <c r="L20" s="468">
        <v>9</v>
      </c>
      <c r="M20" s="468">
        <v>1</v>
      </c>
      <c r="N20" s="468">
        <v>3</v>
      </c>
      <c r="O20" s="468">
        <v>0</v>
      </c>
      <c r="P20" s="468">
        <v>0</v>
      </c>
      <c r="Q20" s="468">
        <f t="shared" si="1"/>
        <v>119.12</v>
      </c>
      <c r="R20" s="72" t="s">
        <v>73</v>
      </c>
      <c r="S20" s="468">
        <f t="shared" si="2"/>
        <v>101.105</v>
      </c>
      <c r="T20" s="468">
        <f t="shared" si="3"/>
        <v>4.8429295000000003</v>
      </c>
      <c r="U20" s="469"/>
      <c r="V20" s="469">
        <f t="shared" si="4"/>
        <v>4.4184041240829433E-2</v>
      </c>
      <c r="W20" s="73">
        <f t="shared" si="7"/>
        <v>2.5915639573948036E-2</v>
      </c>
      <c r="X20" s="466">
        <f t="shared" si="5"/>
        <v>0.25632401536964577</v>
      </c>
      <c r="Y20" s="468"/>
      <c r="Z20" s="469"/>
      <c r="AA20" s="469"/>
      <c r="AB20" s="79"/>
      <c r="AC20" s="469"/>
      <c r="AD20" s="469">
        <f t="shared" si="6"/>
        <v>3.0533316710832207E-2</v>
      </c>
      <c r="AE20" s="469"/>
      <c r="AF20" s="470"/>
    </row>
    <row r="21" spans="2:36" x14ac:dyDescent="0.25">
      <c r="B21" s="463"/>
      <c r="C21" s="469"/>
      <c r="D21" s="466"/>
      <c r="E21" s="466">
        <f>'Amino acids'!D23</f>
        <v>1.4500000000000001E-2</v>
      </c>
      <c r="F21" s="467">
        <f t="shared" si="0"/>
        <v>7.7592864777867712E-2</v>
      </c>
      <c r="G21" s="468" t="s">
        <v>110</v>
      </c>
      <c r="H21" s="468" t="s">
        <v>70</v>
      </c>
      <c r="I21" s="468" t="s">
        <v>71</v>
      </c>
      <c r="J21" s="468" t="s">
        <v>111</v>
      </c>
      <c r="K21" s="468">
        <v>11</v>
      </c>
      <c r="L21" s="468">
        <v>12</v>
      </c>
      <c r="M21" s="468">
        <v>2</v>
      </c>
      <c r="N21" s="468">
        <v>2</v>
      </c>
      <c r="O21" s="468">
        <v>0</v>
      </c>
      <c r="P21" s="468">
        <v>0</v>
      </c>
      <c r="Q21" s="468">
        <f t="shared" si="1"/>
        <v>204.22899999999998</v>
      </c>
      <c r="R21" s="72" t="s">
        <v>73</v>
      </c>
      <c r="S21" s="468">
        <f t="shared" si="2"/>
        <v>186.214</v>
      </c>
      <c r="T21" s="468">
        <f t="shared" si="3"/>
        <v>2.7001029999999999</v>
      </c>
      <c r="U21" s="469"/>
      <c r="V21" s="469">
        <f t="shared" si="4"/>
        <v>2.4634152181337198E-2</v>
      </c>
      <c r="W21" s="73">
        <f t="shared" si="7"/>
        <v>1.4448877721745856E-2</v>
      </c>
      <c r="X21" s="466">
        <f t="shared" si="5"/>
        <v>7.7592864777867712E-2</v>
      </c>
      <c r="Y21" s="468"/>
      <c r="Z21" s="469"/>
      <c r="AA21" s="469"/>
      <c r="AB21" s="79"/>
      <c r="AC21" s="469"/>
      <c r="AD21" s="469">
        <f t="shared" si="6"/>
        <v>1.5846713180719143E-2</v>
      </c>
      <c r="AE21" s="469"/>
      <c r="AF21" s="470"/>
    </row>
    <row r="22" spans="2:36" x14ac:dyDescent="0.25">
      <c r="B22" s="463"/>
      <c r="C22" s="469"/>
      <c r="D22" s="466"/>
      <c r="E22" s="466">
        <f>'Amino acids'!D24</f>
        <v>2.5399999999999999E-2</v>
      </c>
      <c r="F22" s="467">
        <f t="shared" si="0"/>
        <v>0.13592129416260965</v>
      </c>
      <c r="G22" s="468" t="s">
        <v>112</v>
      </c>
      <c r="H22" s="468" t="s">
        <v>70</v>
      </c>
      <c r="I22" s="468" t="s">
        <v>71</v>
      </c>
      <c r="J22" s="468" t="s">
        <v>113</v>
      </c>
      <c r="K22" s="468">
        <v>9</v>
      </c>
      <c r="L22" s="468">
        <v>11</v>
      </c>
      <c r="M22" s="468">
        <v>1</v>
      </c>
      <c r="N22" s="468">
        <v>3</v>
      </c>
      <c r="O22" s="468">
        <v>0</v>
      </c>
      <c r="P22" s="468">
        <v>0</v>
      </c>
      <c r="Q22" s="468">
        <f t="shared" si="1"/>
        <v>181.19099999999997</v>
      </c>
      <c r="R22" s="72" t="s">
        <v>73</v>
      </c>
      <c r="S22" s="468">
        <f t="shared" si="2"/>
        <v>163.17599999999999</v>
      </c>
      <c r="T22" s="468">
        <f t="shared" si="3"/>
        <v>4.1446703999999999</v>
      </c>
      <c r="U22" s="469"/>
      <c r="V22" s="469">
        <f t="shared" si="4"/>
        <v>3.7813535770703455E-2</v>
      </c>
      <c r="W22" s="73">
        <f t="shared" si="7"/>
        <v>2.2179093096277989E-2</v>
      </c>
      <c r="X22" s="466">
        <f t="shared" si="5"/>
        <v>0.13592129416260965</v>
      </c>
      <c r="Y22" s="468"/>
      <c r="Z22" s="469"/>
      <c r="AA22" s="469"/>
      <c r="AB22" s="82"/>
      <c r="AC22" s="469"/>
      <c r="AD22" s="469">
        <f t="shared" si="6"/>
        <v>2.46277152106174E-2</v>
      </c>
      <c r="AE22" s="469"/>
      <c r="AF22" s="470"/>
      <c r="AH22" s="477"/>
    </row>
    <row r="23" spans="2:36" ht="15.75" thickBot="1" x14ac:dyDescent="0.3">
      <c r="B23" s="463"/>
      <c r="C23" s="469"/>
      <c r="D23" s="466"/>
      <c r="E23" s="466">
        <f>'Amino acids'!D25</f>
        <v>7.2700000000000001E-2</v>
      </c>
      <c r="F23" s="467">
        <f t="shared" si="0"/>
        <v>0.38903457030006783</v>
      </c>
      <c r="G23" s="468" t="s">
        <v>114</v>
      </c>
      <c r="H23" s="468" t="s">
        <v>70</v>
      </c>
      <c r="I23" s="468" t="s">
        <v>71</v>
      </c>
      <c r="J23" s="468" t="s">
        <v>115</v>
      </c>
      <c r="K23" s="468">
        <v>5</v>
      </c>
      <c r="L23" s="468">
        <v>11</v>
      </c>
      <c r="M23" s="468">
        <v>1</v>
      </c>
      <c r="N23" s="468">
        <v>2</v>
      </c>
      <c r="O23" s="468">
        <v>0</v>
      </c>
      <c r="P23" s="468">
        <v>0</v>
      </c>
      <c r="Q23" s="468">
        <f t="shared" si="1"/>
        <v>117.14800000000001</v>
      </c>
      <c r="R23" s="72" t="s">
        <v>73</v>
      </c>
      <c r="S23" s="468">
        <f t="shared" si="2"/>
        <v>99.13300000000001</v>
      </c>
      <c r="T23" s="468">
        <f t="shared" si="3"/>
        <v>7.2069691000000011</v>
      </c>
      <c r="U23" s="469"/>
      <c r="V23" s="469">
        <f t="shared" si="4"/>
        <v>6.5752148557145715E-2</v>
      </c>
      <c r="W23" s="73">
        <f t="shared" si="7"/>
        <v>3.8566164057556626E-2</v>
      </c>
      <c r="X23" s="466">
        <f t="shared" si="5"/>
        <v>0.38903457030006783</v>
      </c>
      <c r="Y23" s="468"/>
      <c r="Z23" s="478">
        <f>SUM(X4:X23)</f>
        <v>5.3528374232621445</v>
      </c>
      <c r="AA23" s="468" t="s">
        <v>68</v>
      </c>
      <c r="AB23" s="85">
        <f>SUM(W4:W23)</f>
        <v>0.58653846153846156</v>
      </c>
      <c r="AC23" s="469"/>
      <c r="AD23" s="469">
        <f t="shared" si="6"/>
        <v>4.5574621841512349E-2</v>
      </c>
      <c r="AE23" s="469">
        <f>SUM(AD4:AD23)</f>
        <v>0.6829698277185291</v>
      </c>
      <c r="AF23" s="479">
        <f>AE23-AD96</f>
        <v>0.58653846153846156</v>
      </c>
    </row>
    <row r="24" spans="2:36" ht="15.75" thickBot="1" x14ac:dyDescent="0.3">
      <c r="B24" s="87"/>
      <c r="C24" s="480" t="s">
        <v>116</v>
      </c>
      <c r="D24" s="481">
        <f>'Macromolecular Composition'!D5</f>
        <v>1.7307692307692305E-2</v>
      </c>
      <c r="E24" s="482">
        <f>DNA!F6</f>
        <v>0.19193307907341201</v>
      </c>
      <c r="F24" s="483">
        <f t="shared" si="0"/>
        <v>1.0804607332874189E-2</v>
      </c>
      <c r="G24" s="484" t="s">
        <v>117</v>
      </c>
      <c r="H24" s="484" t="s">
        <v>70</v>
      </c>
      <c r="I24" s="484" t="s">
        <v>116</v>
      </c>
      <c r="J24" s="484" t="s">
        <v>118</v>
      </c>
      <c r="K24" s="484">
        <v>10</v>
      </c>
      <c r="L24" s="484">
        <v>12</v>
      </c>
      <c r="M24" s="484">
        <v>5</v>
      </c>
      <c r="N24" s="484">
        <v>12</v>
      </c>
      <c r="O24" s="484">
        <v>3</v>
      </c>
      <c r="P24" s="485">
        <v>0</v>
      </c>
      <c r="Q24" s="485">
        <f t="shared" si="1"/>
        <v>487.15099999999995</v>
      </c>
      <c r="R24" s="92" t="s">
        <v>119</v>
      </c>
      <c r="S24" s="486">
        <f>Q24-$Q$94</f>
        <v>312.20199999999994</v>
      </c>
      <c r="T24" s="486">
        <f t="shared" si="3"/>
        <v>59.921891152877365</v>
      </c>
      <c r="U24" s="484">
        <f>SUM(T24:T27)</f>
        <v>307.45390127814221</v>
      </c>
      <c r="V24" s="484">
        <f>T24/$U$24</f>
        <v>0.19489715662663926</v>
      </c>
      <c r="W24" s="94">
        <f>V24*$D$24</f>
        <v>3.3732200185379868E-3</v>
      </c>
      <c r="X24" s="487">
        <f t="shared" si="5"/>
        <v>1.0804607332874189E-2</v>
      </c>
      <c r="Y24" s="486"/>
      <c r="Z24" s="484"/>
      <c r="AA24" s="484"/>
      <c r="AB24" s="96"/>
      <c r="AC24" s="484"/>
      <c r="AD24" s="484">
        <f t="shared" si="6"/>
        <v>5.2634752668169939E-3</v>
      </c>
      <c r="AE24" s="484"/>
      <c r="AF24" s="488"/>
    </row>
    <row r="25" spans="2:36" x14ac:dyDescent="0.25">
      <c r="B25" s="87"/>
      <c r="C25" s="486" t="s">
        <v>120</v>
      </c>
      <c r="D25" s="482"/>
      <c r="E25" s="482">
        <f>DNA!F7</f>
        <v>0.30572563643031236</v>
      </c>
      <c r="F25" s="483">
        <f t="shared" si="0"/>
        <v>1.7210402027464634E-2</v>
      </c>
      <c r="G25" s="484" t="s">
        <v>121</v>
      </c>
      <c r="H25" s="484" t="s">
        <v>70</v>
      </c>
      <c r="I25" s="484" t="s">
        <v>116</v>
      </c>
      <c r="J25" s="484" t="s">
        <v>122</v>
      </c>
      <c r="K25" s="484">
        <v>9</v>
      </c>
      <c r="L25" s="484">
        <v>10</v>
      </c>
      <c r="M25" s="484">
        <v>3</v>
      </c>
      <c r="N25" s="484">
        <v>13</v>
      </c>
      <c r="O25" s="484">
        <v>3</v>
      </c>
      <c r="P25" s="485">
        <v>0</v>
      </c>
      <c r="Q25" s="485">
        <f t="shared" si="1"/>
        <v>461.10900000000004</v>
      </c>
      <c r="R25" s="92" t="s">
        <v>119</v>
      </c>
      <c r="S25" s="486">
        <f>Q25-$Q$94</f>
        <v>286.16000000000003</v>
      </c>
      <c r="T25" s="486">
        <f t="shared" si="3"/>
        <v>87.486448120898189</v>
      </c>
      <c r="U25" s="485"/>
      <c r="V25" s="484">
        <f>T25/$U$24</f>
        <v>0.28455143277480294</v>
      </c>
      <c r="W25" s="94">
        <f>V25*$D$24</f>
        <v>4.9249286441792805E-3</v>
      </c>
      <c r="X25" s="487">
        <f t="shared" si="5"/>
        <v>1.7210402027464634E-2</v>
      </c>
      <c r="Y25" s="486"/>
      <c r="Z25" s="484"/>
      <c r="AA25" s="484"/>
      <c r="AB25" s="96"/>
      <c r="AC25" s="484"/>
      <c r="AD25" s="484">
        <f t="shared" si="6"/>
        <v>7.9358712684821902E-3</v>
      </c>
      <c r="AE25" s="484"/>
      <c r="AF25" s="488"/>
    </row>
    <row r="26" spans="2:36" x14ac:dyDescent="0.25">
      <c r="B26" s="87"/>
      <c r="C26" s="486" t="s">
        <v>120</v>
      </c>
      <c r="D26" s="482"/>
      <c r="E26" s="482">
        <f>DNA!F8</f>
        <v>0.30951527072016966</v>
      </c>
      <c r="F26" s="483">
        <f t="shared" si="0"/>
        <v>1.7423734250522668E-2</v>
      </c>
      <c r="G26" s="484" t="s">
        <v>123</v>
      </c>
      <c r="H26" s="484" t="s">
        <v>70</v>
      </c>
      <c r="I26" s="484" t="s">
        <v>116</v>
      </c>
      <c r="J26" s="484" t="s">
        <v>124</v>
      </c>
      <c r="K26" s="484">
        <v>10</v>
      </c>
      <c r="L26" s="484">
        <v>12</v>
      </c>
      <c r="M26" s="484">
        <v>5</v>
      </c>
      <c r="N26" s="484">
        <v>13</v>
      </c>
      <c r="O26" s="484">
        <v>3</v>
      </c>
      <c r="P26" s="485">
        <v>0</v>
      </c>
      <c r="Q26" s="485">
        <f t="shared" si="1"/>
        <v>503.15</v>
      </c>
      <c r="R26" s="92" t="s">
        <v>119</v>
      </c>
      <c r="S26" s="486">
        <f>Q26-$Q$94</f>
        <v>328.20099999999996</v>
      </c>
      <c r="T26" s="486">
        <f t="shared" si="3"/>
        <v>101.58322136563039</v>
      </c>
      <c r="U26" s="485"/>
      <c r="V26" s="484">
        <f>T26/$U$24</f>
        <v>0.33040147138589016</v>
      </c>
      <c r="W26" s="94">
        <f>V26*$D$24</f>
        <v>5.7184870047557899E-3</v>
      </c>
      <c r="X26" s="487">
        <f t="shared" si="5"/>
        <v>1.7423734250522668E-2</v>
      </c>
      <c r="Y26" s="486"/>
      <c r="Z26" s="486"/>
      <c r="AA26" s="484"/>
      <c r="AB26" s="96"/>
      <c r="AC26" s="484"/>
      <c r="AD26" s="484">
        <f t="shared" si="6"/>
        <v>8.76675188815048E-3</v>
      </c>
      <c r="AE26" s="484"/>
      <c r="AF26" s="488"/>
    </row>
    <row r="27" spans="2:36" ht="15.75" thickBot="1" x14ac:dyDescent="0.3">
      <c r="B27" s="87"/>
      <c r="C27" s="486" t="s">
        <v>120</v>
      </c>
      <c r="D27" s="482"/>
      <c r="E27" s="482">
        <f>DNA!F9</f>
        <v>0.192826013776106</v>
      </c>
      <c r="F27" s="483">
        <f t="shared" si="0"/>
        <v>1.0854873857451826E-2</v>
      </c>
      <c r="G27" s="484" t="s">
        <v>125</v>
      </c>
      <c r="H27" s="484" t="s">
        <v>70</v>
      </c>
      <c r="I27" s="484" t="s">
        <v>116</v>
      </c>
      <c r="J27" s="484" t="s">
        <v>126</v>
      </c>
      <c r="K27" s="484">
        <v>10</v>
      </c>
      <c r="L27" s="484">
        <v>13</v>
      </c>
      <c r="M27" s="484">
        <v>2</v>
      </c>
      <c r="N27" s="484">
        <v>14</v>
      </c>
      <c r="O27" s="484">
        <v>3</v>
      </c>
      <c r="P27" s="485">
        <v>0</v>
      </c>
      <c r="Q27" s="485">
        <f t="shared" si="1"/>
        <v>478.13600000000008</v>
      </c>
      <c r="R27" s="92" t="s">
        <v>119</v>
      </c>
      <c r="S27" s="486">
        <f>Q27-$Q$94</f>
        <v>303.18700000000007</v>
      </c>
      <c r="T27" s="486">
        <f t="shared" si="3"/>
        <v>58.462340638736265</v>
      </c>
      <c r="U27" s="485"/>
      <c r="V27" s="484">
        <f>T27/$U$24</f>
        <v>0.19014993921266765</v>
      </c>
      <c r="W27" s="94">
        <f>V27*$D$24</f>
        <v>3.2910566402192475E-3</v>
      </c>
      <c r="X27" s="487">
        <f t="shared" si="5"/>
        <v>1.0854873857451826E-2</v>
      </c>
      <c r="Y27" s="486"/>
      <c r="Z27" s="489">
        <f>SUM(X24:X27)</f>
        <v>5.6293617468313316E-2</v>
      </c>
      <c r="AA27" s="484" t="s">
        <v>116</v>
      </c>
      <c r="AB27" s="99">
        <f>SUM(W24:W27)</f>
        <v>1.7307692307692305E-2</v>
      </c>
      <c r="AC27" s="484"/>
      <c r="AD27" s="484">
        <f t="shared" si="6"/>
        <v>5.1901059667065867E-3</v>
      </c>
      <c r="AE27" s="484">
        <f>SUM(AD24:AD27)</f>
        <v>2.7156204390156251E-2</v>
      </c>
      <c r="AF27" s="488">
        <f>AE27-AD94</f>
        <v>1.7307692307692305E-2</v>
      </c>
      <c r="AG27" s="490"/>
    </row>
    <row r="28" spans="2:36" ht="15.75" thickBot="1" x14ac:dyDescent="0.3">
      <c r="B28" s="101"/>
      <c r="C28" s="491" t="s">
        <v>127</v>
      </c>
      <c r="D28" s="492">
        <f>'Macromolecular Composition'!D6</f>
        <v>0.22019230769230771</v>
      </c>
      <c r="E28" s="493">
        <f>RNA!L6</f>
        <v>0.23415435341740501</v>
      </c>
      <c r="F28" s="494">
        <f t="shared" si="0"/>
        <v>0.15978394195372847</v>
      </c>
      <c r="G28" s="495" t="s">
        <v>128</v>
      </c>
      <c r="H28" s="495" t="s">
        <v>70</v>
      </c>
      <c r="I28" s="495" t="s">
        <v>127</v>
      </c>
      <c r="J28" s="495" t="s">
        <v>129</v>
      </c>
      <c r="K28" s="495">
        <v>9</v>
      </c>
      <c r="L28" s="495">
        <v>12</v>
      </c>
      <c r="M28" s="495">
        <v>3</v>
      </c>
      <c r="N28" s="495">
        <v>14</v>
      </c>
      <c r="O28" s="495">
        <v>3</v>
      </c>
      <c r="P28" s="496">
        <v>0</v>
      </c>
      <c r="Q28" s="496">
        <f t="shared" si="1"/>
        <v>479.12400000000002</v>
      </c>
      <c r="R28" s="106" t="s">
        <v>119</v>
      </c>
      <c r="S28" s="497">
        <f>Q28-$Q$95</f>
        <v>304.17500000000001</v>
      </c>
      <c r="T28" s="497">
        <f t="shared" si="3"/>
        <v>71.223900450739166</v>
      </c>
      <c r="U28" s="495">
        <f>SUM(T28:T31)</f>
        <v>322.67940573220733</v>
      </c>
      <c r="V28" s="495">
        <f>T28/$U$28</f>
        <v>0.22072651425994044</v>
      </c>
      <c r="W28" s="108">
        <f>V28*$D$28</f>
        <v>4.8602280543775356E-2</v>
      </c>
      <c r="X28" s="498">
        <f t="shared" si="5"/>
        <v>0.15978394195372847</v>
      </c>
      <c r="Y28" s="497"/>
      <c r="Z28" s="497"/>
      <c r="AA28" s="495"/>
      <c r="AB28" s="110"/>
      <c r="AC28" s="495"/>
      <c r="AD28" s="495">
        <f t="shared" si="6"/>
        <v>7.6556321404638195E-2</v>
      </c>
      <c r="AE28" s="495"/>
      <c r="AF28" s="499"/>
    </row>
    <row r="29" spans="2:36" x14ac:dyDescent="0.25">
      <c r="B29" s="101"/>
      <c r="C29" s="495"/>
      <c r="D29" s="500"/>
      <c r="E29" s="493">
        <f>RNA!L7</f>
        <v>0.30877592054474773</v>
      </c>
      <c r="F29" s="494">
        <f t="shared" si="0"/>
        <v>0.21070474686875379</v>
      </c>
      <c r="G29" s="495" t="s">
        <v>130</v>
      </c>
      <c r="H29" s="495" t="s">
        <v>70</v>
      </c>
      <c r="I29" s="495" t="s">
        <v>127</v>
      </c>
      <c r="J29" s="495" t="s">
        <v>131</v>
      </c>
      <c r="K29" s="495">
        <v>10</v>
      </c>
      <c r="L29" s="495">
        <v>12</v>
      </c>
      <c r="M29" s="495">
        <v>5</v>
      </c>
      <c r="N29" s="495">
        <v>14</v>
      </c>
      <c r="O29" s="495">
        <v>3</v>
      </c>
      <c r="P29" s="496">
        <v>0</v>
      </c>
      <c r="Q29" s="496">
        <f t="shared" si="1"/>
        <v>519.149</v>
      </c>
      <c r="R29" s="106" t="s">
        <v>119</v>
      </c>
      <c r="S29" s="497">
        <f>Q29-$Q$95</f>
        <v>344.2</v>
      </c>
      <c r="T29" s="497">
        <f t="shared" si="3"/>
        <v>106.28067185150216</v>
      </c>
      <c r="U29" s="496"/>
      <c r="V29" s="495">
        <f>T29/$U$28</f>
        <v>0.32936924378652421</v>
      </c>
      <c r="W29" s="108">
        <f>V29*$D$28</f>
        <v>7.2524573872225051E-2</v>
      </c>
      <c r="X29" s="498">
        <f t="shared" si="5"/>
        <v>0.21070474686875379</v>
      </c>
      <c r="Y29" s="497"/>
      <c r="Z29" s="497"/>
      <c r="AA29" s="495"/>
      <c r="AB29" s="110"/>
      <c r="AC29" s="495"/>
      <c r="AD29" s="495">
        <f t="shared" si="6"/>
        <v>0.10938715863216666</v>
      </c>
      <c r="AE29" s="495"/>
      <c r="AF29" s="499"/>
    </row>
    <row r="30" spans="2:36" x14ac:dyDescent="0.25">
      <c r="B30" s="101"/>
      <c r="C30" s="495"/>
      <c r="D30" s="493"/>
      <c r="E30" s="493">
        <f>RNA!L8</f>
        <v>0.20987361016324604</v>
      </c>
      <c r="F30" s="494">
        <f t="shared" si="0"/>
        <v>0.14321507268397804</v>
      </c>
      <c r="G30" s="495" t="s">
        <v>132</v>
      </c>
      <c r="H30" s="495" t="s">
        <v>70</v>
      </c>
      <c r="I30" s="495" t="s">
        <v>127</v>
      </c>
      <c r="J30" s="495" t="s">
        <v>133</v>
      </c>
      <c r="K30" s="495">
        <v>9</v>
      </c>
      <c r="L30" s="495">
        <v>11</v>
      </c>
      <c r="M30" s="495">
        <v>2</v>
      </c>
      <c r="N30" s="495">
        <v>15</v>
      </c>
      <c r="O30" s="495">
        <v>3</v>
      </c>
      <c r="P30" s="496">
        <v>0</v>
      </c>
      <c r="Q30" s="496">
        <f t="shared" si="1"/>
        <v>480.10800000000006</v>
      </c>
      <c r="R30" s="106" t="s">
        <v>119</v>
      </c>
      <c r="S30" s="497">
        <f>Q30-$Q$95</f>
        <v>305.15900000000005</v>
      </c>
      <c r="T30" s="497">
        <f t="shared" si="3"/>
        <v>64.044821003806007</v>
      </c>
      <c r="U30" s="496"/>
      <c r="V30" s="495">
        <f>T30/$U$28</f>
        <v>0.19847817947500812</v>
      </c>
      <c r="W30" s="108">
        <f>V30*$D$28</f>
        <v>4.370336836517006E-2</v>
      </c>
      <c r="X30" s="498">
        <f t="shared" si="5"/>
        <v>0.14321507268397804</v>
      </c>
      <c r="Y30" s="497"/>
      <c r="Z30" s="497"/>
      <c r="AA30" s="495"/>
      <c r="AB30" s="110"/>
      <c r="AC30" s="495"/>
      <c r="AD30" s="495">
        <f t="shared" si="6"/>
        <v>6.8758702116159337E-2</v>
      </c>
      <c r="AE30" s="495"/>
      <c r="AF30" s="499"/>
    </row>
    <row r="31" spans="2:36" ht="15.75" thickBot="1" x14ac:dyDescent="0.3">
      <c r="B31" s="101"/>
      <c r="C31" s="495"/>
      <c r="D31" s="493"/>
      <c r="E31" s="493">
        <f>RNA!L9</f>
        <v>0.24719611587460122</v>
      </c>
      <c r="F31" s="494">
        <f t="shared" si="0"/>
        <v>0.16868347418544505</v>
      </c>
      <c r="G31" s="495" t="s">
        <v>134</v>
      </c>
      <c r="H31" s="495" t="s">
        <v>70</v>
      </c>
      <c r="I31" s="495" t="s">
        <v>127</v>
      </c>
      <c r="J31" s="495" t="s">
        <v>124</v>
      </c>
      <c r="K31" s="495">
        <v>10</v>
      </c>
      <c r="L31" s="495">
        <v>12</v>
      </c>
      <c r="M31" s="495">
        <v>5</v>
      </c>
      <c r="N31" s="495">
        <v>13</v>
      </c>
      <c r="O31" s="495">
        <v>3</v>
      </c>
      <c r="P31" s="496">
        <v>0</v>
      </c>
      <c r="Q31" s="496">
        <f t="shared" si="1"/>
        <v>503.15</v>
      </c>
      <c r="R31" s="106" t="s">
        <v>119</v>
      </c>
      <c r="S31" s="497">
        <f>Q31-$Q$95</f>
        <v>328.20099999999996</v>
      </c>
      <c r="T31" s="497">
        <f t="shared" si="3"/>
        <v>81.130012426159979</v>
      </c>
      <c r="U31" s="496"/>
      <c r="V31" s="495">
        <f>T31/$U$28</f>
        <v>0.25142606247852717</v>
      </c>
      <c r="W31" s="108">
        <f>V31*$D$28</f>
        <v>5.5362084911137241E-2</v>
      </c>
      <c r="X31" s="498">
        <f t="shared" si="5"/>
        <v>0.16868347418544505</v>
      </c>
      <c r="Y31" s="497"/>
      <c r="Z31" s="501">
        <f>SUM(X28:X31)</f>
        <v>0.6823872356919054</v>
      </c>
      <c r="AA31" s="495" t="s">
        <v>127</v>
      </c>
      <c r="AB31" s="113">
        <f>SUM(W28:W31)</f>
        <v>0.22019230769230769</v>
      </c>
      <c r="AC31" s="495"/>
      <c r="AD31" s="495">
        <f t="shared" si="6"/>
        <v>8.4873090036406668E-2</v>
      </c>
      <c r="AE31" s="495">
        <f>SUM(AD28:AD31)</f>
        <v>0.33957527218937089</v>
      </c>
      <c r="AF31" s="499">
        <f>AE31-AD95</f>
        <v>0.22019230769230771</v>
      </c>
      <c r="AG31" s="490"/>
    </row>
    <row r="32" spans="2:36" ht="15.75" thickBot="1" x14ac:dyDescent="0.3">
      <c r="B32" s="122"/>
      <c r="C32" s="502" t="s">
        <v>136</v>
      </c>
      <c r="D32" s="344">
        <f>'Macromolecular Composition'!D7</f>
        <v>2.403846153846154E-2</v>
      </c>
      <c r="E32" s="503">
        <v>1</v>
      </c>
      <c r="F32" s="504">
        <f t="shared" si="0"/>
        <v>1.2699625927946429E-2</v>
      </c>
      <c r="G32" s="505" t="s">
        <v>498</v>
      </c>
      <c r="H32" s="505" t="s">
        <v>138</v>
      </c>
      <c r="I32" s="505" t="s">
        <v>136</v>
      </c>
      <c r="J32" s="503" t="s">
        <v>499</v>
      </c>
      <c r="K32" s="503">
        <v>77</v>
      </c>
      <c r="L32" s="503">
        <v>117</v>
      </c>
      <c r="M32" s="503">
        <v>15</v>
      </c>
      <c r="N32" s="506">
        <v>40</v>
      </c>
      <c r="O32" s="506">
        <v>0</v>
      </c>
      <c r="P32" s="506">
        <v>0</v>
      </c>
      <c r="Q32" s="506">
        <f t="shared" si="1"/>
        <v>1892.848</v>
      </c>
      <c r="R32" s="127" t="s">
        <v>135</v>
      </c>
      <c r="S32" s="506">
        <f t="shared" ref="S32:S42" si="8">Q32</f>
        <v>1892.848</v>
      </c>
      <c r="T32" s="506">
        <f t="shared" si="3"/>
        <v>1892.848</v>
      </c>
      <c r="U32" s="503">
        <f>SUM(T32:T32)</f>
        <v>1892.848</v>
      </c>
      <c r="V32" s="506">
        <f>T32/$U$32</f>
        <v>1</v>
      </c>
      <c r="W32" s="128">
        <f>V32*$D$32</f>
        <v>2.403846153846154E-2</v>
      </c>
      <c r="X32" s="507">
        <f t="shared" si="5"/>
        <v>1.2699625927946429E-2</v>
      </c>
      <c r="Y32" s="505"/>
      <c r="Z32" s="508"/>
      <c r="AA32" s="503"/>
      <c r="AB32" s="131"/>
      <c r="AC32" s="503"/>
      <c r="AD32" s="503">
        <f t="shared" si="6"/>
        <v>2.403846153846154E-2</v>
      </c>
      <c r="AE32" s="503"/>
      <c r="AF32" s="509"/>
    </row>
    <row r="33" spans="2:32" ht="15.75" thickBot="1" x14ac:dyDescent="0.3">
      <c r="B33" s="135"/>
      <c r="C33" s="510" t="s">
        <v>148</v>
      </c>
      <c r="D33" s="511">
        <f>'Macromolecular Composition'!D8</f>
        <v>3.2692307692307694E-2</v>
      </c>
      <c r="E33" s="512">
        <v>1</v>
      </c>
      <c r="F33" s="513">
        <f t="shared" si="0"/>
        <v>1.1635962692201463E-2</v>
      </c>
      <c r="G33" s="446" t="s">
        <v>500</v>
      </c>
      <c r="H33" s="512" t="s">
        <v>70</v>
      </c>
      <c r="I33" s="512" t="s">
        <v>148</v>
      </c>
      <c r="J33" s="512" t="s">
        <v>501</v>
      </c>
      <c r="K33" s="512">
        <v>112</v>
      </c>
      <c r="L33" s="512">
        <v>195</v>
      </c>
      <c r="M33" s="512">
        <v>3</v>
      </c>
      <c r="N33" s="514">
        <v>65</v>
      </c>
      <c r="O33" s="514">
        <v>6</v>
      </c>
      <c r="P33" s="514">
        <v>0</v>
      </c>
      <c r="Q33" s="514">
        <f>(K33*12.011)+(L33*1.008)+(N33*15.999)+(14.007*M33)+(O33*30.974)+(P33*32.066)</f>
        <v>2809.5920000000001</v>
      </c>
      <c r="R33" s="139" t="s">
        <v>135</v>
      </c>
      <c r="S33" s="139">
        <f t="shared" si="8"/>
        <v>2809.5920000000001</v>
      </c>
      <c r="T33" s="139">
        <f t="shared" si="3"/>
        <v>2809.5920000000001</v>
      </c>
      <c r="U33" s="139">
        <f>SUM(T33)</f>
        <v>2809.5920000000001</v>
      </c>
      <c r="V33" s="139">
        <f>T33/$U$33</f>
        <v>1</v>
      </c>
      <c r="W33" s="140">
        <f>V33*$D$33</f>
        <v>3.2692307692307694E-2</v>
      </c>
      <c r="X33" s="139">
        <f>W33/S33*1000</f>
        <v>1.1635962692201463E-2</v>
      </c>
      <c r="Y33" s="139"/>
      <c r="Z33" s="141">
        <f>SUM(X33)</f>
        <v>1.1635962692201463E-2</v>
      </c>
      <c r="AA33" s="139" t="s">
        <v>148</v>
      </c>
      <c r="AB33" s="141">
        <f>SUM(W33)</f>
        <v>3.2692307692307694E-2</v>
      </c>
      <c r="AC33" s="512"/>
      <c r="AD33" s="512">
        <f t="shared" si="6"/>
        <v>3.2692307692307694E-2</v>
      </c>
      <c r="AE33" s="512"/>
      <c r="AF33" s="515">
        <f>AD33</f>
        <v>3.2692307692307694E-2</v>
      </c>
    </row>
    <row r="34" spans="2:32" ht="15.75" thickBot="1" x14ac:dyDescent="0.3">
      <c r="B34" s="348"/>
      <c r="C34" s="516" t="s">
        <v>150</v>
      </c>
      <c r="D34" s="517">
        <f>'Macromolecular Composition'!D9</f>
        <v>8.1730769230769232E-2</v>
      </c>
      <c r="E34" s="518"/>
      <c r="F34" s="519"/>
      <c r="G34" s="518"/>
      <c r="H34" s="518" t="s">
        <v>151</v>
      </c>
      <c r="I34" s="518" t="s">
        <v>150</v>
      </c>
      <c r="J34" s="518" t="s">
        <v>435</v>
      </c>
      <c r="K34" s="518">
        <v>33</v>
      </c>
      <c r="L34" s="518">
        <v>66</v>
      </c>
      <c r="M34" s="518">
        <v>1</v>
      </c>
      <c r="N34" s="520">
        <v>8</v>
      </c>
      <c r="O34" s="520">
        <v>1</v>
      </c>
      <c r="P34" s="520">
        <v>0</v>
      </c>
      <c r="Q34" s="520">
        <f>(K34*12.011)+(L34*1.008)+(N34*15.999)+(14.007*M34)+(O34*30.974)+(P34*32.066)</f>
        <v>635.86400000000003</v>
      </c>
      <c r="R34" s="362" t="s">
        <v>135</v>
      </c>
      <c r="S34" s="362">
        <f t="shared" si="8"/>
        <v>635.86400000000003</v>
      </c>
      <c r="T34" s="351">
        <f t="shared" si="3"/>
        <v>0</v>
      </c>
      <c r="U34" s="351">
        <f>SUM(T35:T42)</f>
        <v>716.26078164190665</v>
      </c>
      <c r="V34" s="351">
        <f t="shared" ref="V34:V42" si="9">T34/$U$34</f>
        <v>0</v>
      </c>
      <c r="W34" s="352">
        <f t="shared" ref="W34:W42" si="10">V34*$D$34</f>
        <v>0</v>
      </c>
      <c r="X34" s="521">
        <f t="shared" ref="X34:X42" si="11">W34/S34*1000</f>
        <v>0</v>
      </c>
      <c r="Y34" s="362"/>
      <c r="Z34" s="363"/>
      <c r="AA34" s="362"/>
      <c r="AB34" s="363"/>
      <c r="AC34" s="518"/>
      <c r="AD34" s="518">
        <f t="shared" si="6"/>
        <v>0</v>
      </c>
      <c r="AE34" s="518"/>
      <c r="AF34" s="522"/>
    </row>
    <row r="35" spans="2:32" x14ac:dyDescent="0.25">
      <c r="B35" s="348"/>
      <c r="C35" s="523"/>
      <c r="D35" s="523"/>
      <c r="E35" s="518">
        <f>'Lipid Core'!D26</f>
        <v>7.5198594902993313E-2</v>
      </c>
      <c r="F35" s="519">
        <f t="shared" si="0"/>
        <v>8.580728086781314E-3</v>
      </c>
      <c r="G35" s="518" t="s">
        <v>23</v>
      </c>
      <c r="H35" s="518" t="s">
        <v>151</v>
      </c>
      <c r="I35" s="518" t="s">
        <v>150</v>
      </c>
      <c r="J35" s="518" t="s">
        <v>152</v>
      </c>
      <c r="K35" s="518">
        <v>37</v>
      </c>
      <c r="L35" s="518">
        <v>74</v>
      </c>
      <c r="M35" s="518">
        <v>1</v>
      </c>
      <c r="N35" s="518">
        <v>8</v>
      </c>
      <c r="O35" s="518">
        <v>1</v>
      </c>
      <c r="P35" s="518">
        <v>0</v>
      </c>
      <c r="Q35" s="518">
        <f t="shared" ref="Q35:Q42" si="12">(K35*12.011)+(L35*1.008)+(N35*15.999)+(14.007*M35)+(O35*30.974)+(P35*32.066)</f>
        <v>691.97199999999998</v>
      </c>
      <c r="R35" s="351" t="s">
        <v>135</v>
      </c>
      <c r="S35" s="351">
        <f t="shared" si="8"/>
        <v>691.97199999999998</v>
      </c>
      <c r="T35" s="351">
        <f t="shared" si="3"/>
        <v>52.035322112214089</v>
      </c>
      <c r="U35" s="523"/>
      <c r="V35" s="351">
        <f t="shared" si="9"/>
        <v>7.2648570808151638E-2</v>
      </c>
      <c r="W35" s="352">
        <f t="shared" si="10"/>
        <v>5.9376235756662399E-3</v>
      </c>
      <c r="X35" s="521">
        <f t="shared" si="11"/>
        <v>8.580728086781314E-3</v>
      </c>
      <c r="Y35" s="351"/>
      <c r="Z35" s="351"/>
      <c r="AA35" s="351"/>
      <c r="AB35" s="351"/>
      <c r="AC35" s="518"/>
      <c r="AD35" s="518">
        <f t="shared" si="6"/>
        <v>5.937623575666239E-3</v>
      </c>
      <c r="AE35" s="518"/>
      <c r="AF35" s="522"/>
    </row>
    <row r="36" spans="2:32" x14ac:dyDescent="0.25">
      <c r="B36" s="348"/>
      <c r="C36" s="524" t="s">
        <v>120</v>
      </c>
      <c r="D36" s="525"/>
      <c r="E36" s="518">
        <f>'Lipid Core'!D27</f>
        <v>0.37353613232362265</v>
      </c>
      <c r="F36" s="519">
        <f t="shared" si="0"/>
        <v>4.26232961691866E-2</v>
      </c>
      <c r="G36" s="518" t="s">
        <v>24</v>
      </c>
      <c r="H36" s="518" t="s">
        <v>151</v>
      </c>
      <c r="I36" s="518" t="s">
        <v>150</v>
      </c>
      <c r="J36" s="518" t="s">
        <v>153</v>
      </c>
      <c r="K36" s="518">
        <v>37</v>
      </c>
      <c r="L36" s="518">
        <v>70</v>
      </c>
      <c r="M36" s="518">
        <v>1</v>
      </c>
      <c r="N36" s="518">
        <v>8</v>
      </c>
      <c r="O36" s="518">
        <v>1</v>
      </c>
      <c r="P36" s="518">
        <v>0</v>
      </c>
      <c r="Q36" s="518">
        <f t="shared" si="12"/>
        <v>687.93999999999994</v>
      </c>
      <c r="R36" s="351" t="s">
        <v>135</v>
      </c>
      <c r="S36" s="351">
        <f t="shared" si="8"/>
        <v>687.93999999999994</v>
      </c>
      <c r="T36" s="351">
        <f t="shared" si="3"/>
        <v>256.97044687071292</v>
      </c>
      <c r="U36" s="351"/>
      <c r="V36" s="351">
        <f t="shared" si="9"/>
        <v>0.35876660213288747</v>
      </c>
      <c r="W36" s="352">
        <f t="shared" si="10"/>
        <v>2.9322270366630227E-2</v>
      </c>
      <c r="X36" s="521">
        <f t="shared" si="11"/>
        <v>4.26232961691866E-2</v>
      </c>
      <c r="Y36" s="351"/>
      <c r="Z36" s="351"/>
      <c r="AA36" s="351"/>
      <c r="AB36" s="351"/>
      <c r="AC36" s="518"/>
      <c r="AD36" s="518">
        <f t="shared" si="6"/>
        <v>2.9322270366630227E-2</v>
      </c>
      <c r="AE36" s="518"/>
      <c r="AF36" s="522"/>
    </row>
    <row r="37" spans="2:32" x14ac:dyDescent="0.25">
      <c r="B37" s="348"/>
      <c r="C37" s="524" t="s">
        <v>120</v>
      </c>
      <c r="D37" s="521"/>
      <c r="E37" s="518">
        <f>'Lipid Core'!D28</f>
        <v>0.170242940735579</v>
      </c>
      <c r="F37" s="519">
        <f t="shared" si="0"/>
        <v>1.9426006363955094E-2</v>
      </c>
      <c r="G37" s="518" t="s">
        <v>25</v>
      </c>
      <c r="H37" s="518" t="s">
        <v>151</v>
      </c>
      <c r="I37" s="518" t="s">
        <v>150</v>
      </c>
      <c r="J37" s="518" t="s">
        <v>154</v>
      </c>
      <c r="K37" s="518">
        <v>41</v>
      </c>
      <c r="L37" s="518">
        <v>78</v>
      </c>
      <c r="M37" s="518">
        <v>1</v>
      </c>
      <c r="N37" s="518">
        <v>8</v>
      </c>
      <c r="O37" s="518">
        <v>1</v>
      </c>
      <c r="P37" s="518">
        <v>0</v>
      </c>
      <c r="Q37" s="518">
        <f t="shared" si="12"/>
        <v>744.04799999999989</v>
      </c>
      <c r="R37" s="351" t="s">
        <v>135</v>
      </c>
      <c r="S37" s="351">
        <f t="shared" si="8"/>
        <v>744.04799999999989</v>
      </c>
      <c r="T37" s="351">
        <f t="shared" si="3"/>
        <v>126.66891956842606</v>
      </c>
      <c r="U37" s="351"/>
      <c r="V37" s="351">
        <f t="shared" si="9"/>
        <v>0.17684748741660683</v>
      </c>
      <c r="W37" s="352">
        <f t="shared" si="10"/>
        <v>1.4453881183088059E-2</v>
      </c>
      <c r="X37" s="521">
        <f t="shared" si="11"/>
        <v>1.9426006363955094E-2</v>
      </c>
      <c r="Y37" s="351"/>
      <c r="Z37" s="351"/>
      <c r="AA37" s="351"/>
      <c r="AB37" s="351"/>
      <c r="AC37" s="518"/>
      <c r="AD37" s="518">
        <f t="shared" si="6"/>
        <v>1.4453881183088057E-2</v>
      </c>
      <c r="AE37" s="518"/>
      <c r="AF37" s="522"/>
    </row>
    <row r="38" spans="2:32" x14ac:dyDescent="0.25">
      <c r="B38" s="348"/>
      <c r="C38" s="524"/>
      <c r="D38" s="521"/>
      <c r="E38" s="518">
        <f>'Lipid Core'!D29</f>
        <v>2.5022556281352332E-2</v>
      </c>
      <c r="F38" s="519">
        <f t="shared" si="0"/>
        <v>2.8552628112725473E-3</v>
      </c>
      <c r="G38" s="518" t="s">
        <v>26</v>
      </c>
      <c r="H38" s="518" t="s">
        <v>151</v>
      </c>
      <c r="I38" s="518" t="s">
        <v>150</v>
      </c>
      <c r="J38" s="518" t="s">
        <v>436</v>
      </c>
      <c r="K38" s="518">
        <v>41</v>
      </c>
      <c r="L38" s="518">
        <v>82</v>
      </c>
      <c r="M38" s="518">
        <v>1</v>
      </c>
      <c r="N38" s="518">
        <v>8</v>
      </c>
      <c r="O38" s="518">
        <v>1</v>
      </c>
      <c r="P38" s="518">
        <v>0</v>
      </c>
      <c r="Q38" s="518">
        <f t="shared" si="12"/>
        <v>748.07999999999993</v>
      </c>
      <c r="R38" s="351" t="s">
        <v>135</v>
      </c>
      <c r="S38" s="351">
        <f t="shared" si="8"/>
        <v>748.07999999999993</v>
      </c>
      <c r="T38" s="351">
        <f t="shared" si="3"/>
        <v>18.718873902954051</v>
      </c>
      <c r="U38" s="351"/>
      <c r="V38" s="351">
        <f t="shared" si="9"/>
        <v>2.613416004718868E-2</v>
      </c>
      <c r="W38" s="352">
        <f t="shared" si="10"/>
        <v>2.135965003856767E-3</v>
      </c>
      <c r="X38" s="521">
        <f t="shared" si="11"/>
        <v>2.8552628112725473E-3</v>
      </c>
      <c r="Y38" s="351"/>
      <c r="Z38" s="351"/>
      <c r="AA38" s="351"/>
      <c r="AB38" s="351"/>
      <c r="AC38" s="518"/>
      <c r="AD38" s="518">
        <f t="shared" si="6"/>
        <v>2.135965003856767E-3</v>
      </c>
      <c r="AE38" s="518"/>
      <c r="AF38" s="522"/>
    </row>
    <row r="39" spans="2:32" x14ac:dyDescent="0.25">
      <c r="B39" s="348"/>
      <c r="C39" s="524" t="s">
        <v>120</v>
      </c>
      <c r="D39" s="521"/>
      <c r="E39" s="518">
        <f>'Lipid Core'!D30</f>
        <v>4.1569409604760271E-2</v>
      </c>
      <c r="F39" s="519">
        <f t="shared" si="0"/>
        <v>4.7433838492145141E-3</v>
      </c>
      <c r="G39" s="518" t="s">
        <v>28</v>
      </c>
      <c r="H39" s="518" t="s">
        <v>151</v>
      </c>
      <c r="I39" s="518" t="s">
        <v>150</v>
      </c>
      <c r="J39" s="518" t="s">
        <v>155</v>
      </c>
      <c r="K39" s="518">
        <v>38</v>
      </c>
      <c r="L39" s="518">
        <v>74</v>
      </c>
      <c r="M39" s="518">
        <v>0</v>
      </c>
      <c r="N39" s="518">
        <v>10</v>
      </c>
      <c r="O39" s="518">
        <v>1</v>
      </c>
      <c r="P39" s="518">
        <v>0</v>
      </c>
      <c r="Q39" s="518">
        <f t="shared" si="12"/>
        <v>721.97400000000005</v>
      </c>
      <c r="R39" s="351" t="s">
        <v>135</v>
      </c>
      <c r="S39" s="351">
        <f t="shared" si="8"/>
        <v>721.97400000000005</v>
      </c>
      <c r="T39" s="351">
        <f t="shared" si="3"/>
        <v>30.012032929987193</v>
      </c>
      <c r="U39" s="351"/>
      <c r="V39" s="351">
        <f t="shared" si="9"/>
        <v>4.1900985924693081E-2</v>
      </c>
      <c r="W39" s="352">
        <f t="shared" si="10"/>
        <v>3.4245998111527998E-3</v>
      </c>
      <c r="X39" s="521">
        <f t="shared" si="11"/>
        <v>4.7433838492145141E-3</v>
      </c>
      <c r="Y39" s="351"/>
      <c r="Z39" s="351"/>
      <c r="AA39" s="351"/>
      <c r="AB39" s="351"/>
      <c r="AC39" s="518"/>
      <c r="AD39" s="518">
        <f t="shared" si="6"/>
        <v>3.4245998111527998E-3</v>
      </c>
      <c r="AE39" s="518"/>
      <c r="AF39" s="522"/>
    </row>
    <row r="40" spans="2:32" x14ac:dyDescent="0.25">
      <c r="B40" s="348"/>
      <c r="C40" s="524" t="s">
        <v>120</v>
      </c>
      <c r="D40" s="521"/>
      <c r="E40" s="518">
        <f>'Lipid Core'!D31</f>
        <v>0.20648891786833795</v>
      </c>
      <c r="F40" s="519">
        <f t="shared" si="0"/>
        <v>2.3561946329550353E-2</v>
      </c>
      <c r="G40" s="518" t="s">
        <v>29</v>
      </c>
      <c r="H40" s="518" t="s">
        <v>151</v>
      </c>
      <c r="I40" s="518" t="s">
        <v>150</v>
      </c>
      <c r="J40" s="518" t="s">
        <v>156</v>
      </c>
      <c r="K40" s="518">
        <v>38</v>
      </c>
      <c r="L40" s="518">
        <v>70</v>
      </c>
      <c r="M40" s="518">
        <v>0</v>
      </c>
      <c r="N40" s="518">
        <v>10</v>
      </c>
      <c r="O40" s="518">
        <v>1</v>
      </c>
      <c r="P40" s="518">
        <v>0</v>
      </c>
      <c r="Q40" s="518">
        <f t="shared" si="12"/>
        <v>717.94200000000001</v>
      </c>
      <c r="R40" s="351" t="s">
        <v>135</v>
      </c>
      <c r="S40" s="351">
        <f t="shared" si="8"/>
        <v>717.94200000000001</v>
      </c>
      <c r="T40" s="351">
        <f t="shared" si="3"/>
        <v>148.24706667223029</v>
      </c>
      <c r="U40" s="351"/>
      <c r="V40" s="351">
        <f t="shared" si="9"/>
        <v>0.20697359184234404</v>
      </c>
      <c r="W40" s="352">
        <f t="shared" si="10"/>
        <v>1.691611087173004E-2</v>
      </c>
      <c r="X40" s="521">
        <f t="shared" si="11"/>
        <v>2.3561946329550353E-2</v>
      </c>
      <c r="Y40" s="351"/>
      <c r="Z40" s="351"/>
      <c r="AA40" s="351"/>
      <c r="AB40" s="351"/>
      <c r="AC40" s="518"/>
      <c r="AD40" s="518">
        <f t="shared" si="6"/>
        <v>1.691611087173004E-2</v>
      </c>
      <c r="AE40" s="518"/>
      <c r="AF40" s="522"/>
    </row>
    <row r="41" spans="2:32" x14ac:dyDescent="0.25">
      <c r="B41" s="348"/>
      <c r="C41" s="524" t="s">
        <v>120</v>
      </c>
      <c r="D41" s="521"/>
      <c r="E41" s="518">
        <f>'Lipid Core'!D32</f>
        <v>9.4109451710972236E-2</v>
      </c>
      <c r="F41" s="519">
        <f t="shared" si="0"/>
        <v>1.0738599791254681E-2</v>
      </c>
      <c r="G41" s="518" t="s">
        <v>30</v>
      </c>
      <c r="H41" s="518" t="s">
        <v>151</v>
      </c>
      <c r="I41" s="518" t="s">
        <v>150</v>
      </c>
      <c r="J41" s="518" t="s">
        <v>157</v>
      </c>
      <c r="K41" s="518">
        <v>42</v>
      </c>
      <c r="L41" s="518">
        <v>78</v>
      </c>
      <c r="M41" s="518">
        <v>0</v>
      </c>
      <c r="N41" s="518">
        <v>10</v>
      </c>
      <c r="O41" s="518">
        <v>1</v>
      </c>
      <c r="P41" s="518">
        <v>0</v>
      </c>
      <c r="Q41" s="518">
        <f t="shared" si="12"/>
        <v>774.05000000000007</v>
      </c>
      <c r="R41" s="351" t="s">
        <v>135</v>
      </c>
      <c r="S41" s="351">
        <f t="shared" si="8"/>
        <v>774.05000000000007</v>
      </c>
      <c r="T41" s="351">
        <f t="shared" si="3"/>
        <v>72.84542109687807</v>
      </c>
      <c r="U41" s="351"/>
      <c r="V41" s="351">
        <f t="shared" si="9"/>
        <v>0.10170237288420604</v>
      </c>
      <c r="W41" s="352">
        <f t="shared" si="10"/>
        <v>8.312213168420686E-3</v>
      </c>
      <c r="X41" s="521">
        <f t="shared" si="11"/>
        <v>1.0738599791254681E-2</v>
      </c>
      <c r="Y41" s="351"/>
      <c r="Z41" s="351"/>
      <c r="AA41" s="351"/>
      <c r="AB41" s="351"/>
      <c r="AC41" s="518"/>
      <c r="AD41" s="518">
        <f t="shared" si="6"/>
        <v>8.3122131684206877E-3</v>
      </c>
      <c r="AE41" s="518"/>
      <c r="AF41" s="522"/>
    </row>
    <row r="42" spans="2:32" ht="15.75" thickBot="1" x14ac:dyDescent="0.3">
      <c r="B42" s="348"/>
      <c r="C42" s="524"/>
      <c r="D42" s="521"/>
      <c r="E42" s="518">
        <f>'Lipid Core'!D33</f>
        <v>1.3832344776648181E-2</v>
      </c>
      <c r="F42" s="519">
        <f t="shared" si="0"/>
        <v>1.5783750944301656E-3</v>
      </c>
      <c r="G42" s="518" t="s">
        <v>31</v>
      </c>
      <c r="H42" s="518" t="s">
        <v>151</v>
      </c>
      <c r="I42" s="518" t="s">
        <v>150</v>
      </c>
      <c r="J42" s="518" t="s">
        <v>438</v>
      </c>
      <c r="K42" s="518">
        <v>42</v>
      </c>
      <c r="L42" s="518">
        <v>82</v>
      </c>
      <c r="M42" s="518">
        <v>0</v>
      </c>
      <c r="N42" s="518">
        <v>10</v>
      </c>
      <c r="O42" s="518">
        <v>1</v>
      </c>
      <c r="P42" s="518">
        <v>0</v>
      </c>
      <c r="Q42" s="518">
        <f t="shared" si="12"/>
        <v>778.08199999999999</v>
      </c>
      <c r="R42" s="351" t="s">
        <v>135</v>
      </c>
      <c r="S42" s="351">
        <f t="shared" si="8"/>
        <v>778.08199999999999</v>
      </c>
      <c r="T42" s="351">
        <f t="shared" si="3"/>
        <v>10.76269848850397</v>
      </c>
      <c r="U42" s="351"/>
      <c r="V42" s="351">
        <f t="shared" si="9"/>
        <v>1.5026228943922219E-2</v>
      </c>
      <c r="W42" s="352">
        <f t="shared" si="10"/>
        <v>1.2281052502244121E-3</v>
      </c>
      <c r="X42" s="521">
        <f t="shared" si="11"/>
        <v>1.5783750944301656E-3</v>
      </c>
      <c r="Y42" s="351"/>
      <c r="Z42" s="351"/>
      <c r="AA42" s="351"/>
      <c r="AB42" s="351"/>
      <c r="AC42" s="518"/>
      <c r="AD42" s="518">
        <f t="shared" si="6"/>
        <v>1.2281052502244121E-3</v>
      </c>
      <c r="AE42" s="518"/>
      <c r="AF42" s="522"/>
    </row>
    <row r="43" spans="2:32" ht="15.75" thickBot="1" x14ac:dyDescent="0.3">
      <c r="B43" s="143"/>
      <c r="C43" s="526" t="s">
        <v>161</v>
      </c>
      <c r="D43" s="527">
        <f>'Macromolecular Composition'!D10</f>
        <v>9.6153846153846159E-3</v>
      </c>
      <c r="E43" s="528">
        <f>Ions!G4</f>
        <v>0.70532915360501569</v>
      </c>
      <c r="F43" s="404">
        <f t="shared" si="0"/>
        <v>0.158509837324806</v>
      </c>
      <c r="G43" s="405" t="s">
        <v>162</v>
      </c>
      <c r="H43" s="405" t="s">
        <v>70</v>
      </c>
      <c r="I43" s="405" t="s">
        <v>161</v>
      </c>
      <c r="J43" s="405" t="s">
        <v>163</v>
      </c>
      <c r="K43" s="405"/>
      <c r="L43" s="405"/>
      <c r="M43" s="405"/>
      <c r="N43" s="405"/>
      <c r="O43" s="405"/>
      <c r="P43" s="405"/>
      <c r="Q43" s="405">
        <v>38.963700000000003</v>
      </c>
      <c r="R43" s="145" t="s">
        <v>135</v>
      </c>
      <c r="S43" s="145">
        <f>Q43</f>
        <v>38.963700000000003</v>
      </c>
      <c r="T43" s="145">
        <f t="shared" si="3"/>
        <v>27.482233542319751</v>
      </c>
      <c r="U43" s="145">
        <f>SUM(T43:T58)</f>
        <v>42.786057993730402</v>
      </c>
      <c r="V43" s="145">
        <f>T43/$U$43</f>
        <v>0.64231749385154446</v>
      </c>
      <c r="W43" s="118">
        <f>V43*$D$43</f>
        <v>6.1761297485725432E-3</v>
      </c>
      <c r="X43" s="529">
        <f>W43/S43*1000</f>
        <v>0.158509837324806</v>
      </c>
      <c r="Y43" s="145"/>
      <c r="Z43" s="146"/>
      <c r="AA43" s="405"/>
      <c r="AB43" s="405"/>
      <c r="AC43" s="405"/>
      <c r="AD43" s="405">
        <f t="shared" si="6"/>
        <v>6.176129748572544E-3</v>
      </c>
      <c r="AE43" s="405"/>
      <c r="AF43" s="530"/>
    </row>
    <row r="44" spans="2:32" x14ac:dyDescent="0.25">
      <c r="B44" s="143"/>
      <c r="C44" s="531" t="s">
        <v>120</v>
      </c>
      <c r="D44" s="529"/>
      <c r="E44" s="528">
        <f>Ions!G18</f>
        <v>4.7021943573667714E-2</v>
      </c>
      <c r="F44" s="404">
        <f t="shared" si="0"/>
        <v>1.0567322488320399E-2</v>
      </c>
      <c r="G44" s="405" t="s">
        <v>164</v>
      </c>
      <c r="H44" s="405" t="s">
        <v>70</v>
      </c>
      <c r="I44" s="405" t="s">
        <v>161</v>
      </c>
      <c r="J44" s="405" t="s">
        <v>165</v>
      </c>
      <c r="K44" s="405">
        <v>0</v>
      </c>
      <c r="L44" s="405">
        <v>4</v>
      </c>
      <c r="M44" s="405">
        <v>1</v>
      </c>
      <c r="N44" s="405">
        <v>0</v>
      </c>
      <c r="O44" s="405">
        <v>0</v>
      </c>
      <c r="P44" s="405">
        <v>0</v>
      </c>
      <c r="Q44" s="405">
        <f>(K44*12.011)+(L44*1.008)+(N44*15.999)+(14.007*M44)+(O44*30.974)+(P44*32.066)</f>
        <v>18.039000000000001</v>
      </c>
      <c r="R44" s="145" t="s">
        <v>135</v>
      </c>
      <c r="S44" s="145">
        <f t="shared" ref="S44:S58" si="13">Q44</f>
        <v>18.039000000000001</v>
      </c>
      <c r="T44" s="145">
        <f t="shared" si="3"/>
        <v>0.84822884012539201</v>
      </c>
      <c r="U44" s="145"/>
      <c r="V44" s="145">
        <f t="shared" ref="V44:V58" si="14">T44/$U$43</f>
        <v>1.9824888758148414E-2</v>
      </c>
      <c r="W44" s="118">
        <f t="shared" ref="W44:W58" si="15">V44*$D$43</f>
        <v>1.9062393036681168E-4</v>
      </c>
      <c r="X44" s="529">
        <f t="shared" ref="X44:X58" si="16">W44/S44*1000</f>
        <v>1.0567322488320399E-2</v>
      </c>
      <c r="Y44" s="145"/>
      <c r="Z44" s="146"/>
      <c r="AA44" s="145"/>
      <c r="AB44" s="146"/>
      <c r="AC44" s="405"/>
      <c r="AD44" s="405">
        <f t="shared" si="6"/>
        <v>1.906239303668117E-4</v>
      </c>
      <c r="AE44" s="405"/>
      <c r="AF44" s="530"/>
    </row>
    <row r="45" spans="2:32" x14ac:dyDescent="0.25">
      <c r="B45" s="143"/>
      <c r="C45" s="531" t="s">
        <v>120</v>
      </c>
      <c r="D45" s="529"/>
      <c r="E45" s="528">
        <f>Ions!G7</f>
        <v>3.1347962382445138E-2</v>
      </c>
      <c r="F45" s="404">
        <f t="shared" si="0"/>
        <v>7.0448816588802657E-3</v>
      </c>
      <c r="G45" s="405" t="s">
        <v>166</v>
      </c>
      <c r="H45" s="405" t="s">
        <v>70</v>
      </c>
      <c r="I45" s="405" t="s">
        <v>161</v>
      </c>
      <c r="J45" s="405" t="s">
        <v>167</v>
      </c>
      <c r="K45" s="405"/>
      <c r="L45" s="405"/>
      <c r="M45" s="405"/>
      <c r="N45" s="405"/>
      <c r="O45" s="405"/>
      <c r="P45" s="405"/>
      <c r="Q45" s="405">
        <v>23.984999999999999</v>
      </c>
      <c r="R45" s="145" t="s">
        <v>135</v>
      </c>
      <c r="S45" s="145">
        <f t="shared" si="13"/>
        <v>23.984999999999999</v>
      </c>
      <c r="T45" s="145">
        <f t="shared" si="3"/>
        <v>0.75188087774294665</v>
      </c>
      <c r="U45" s="145"/>
      <c r="V45" s="145">
        <f t="shared" si="14"/>
        <v>1.7573034605177288E-2</v>
      </c>
      <c r="W45" s="118">
        <f t="shared" si="15"/>
        <v>1.6897148658824316E-4</v>
      </c>
      <c r="X45" s="529">
        <f t="shared" si="16"/>
        <v>7.0448816588802657E-3</v>
      </c>
      <c r="Y45" s="145"/>
      <c r="Z45" s="146"/>
      <c r="AA45" s="145"/>
      <c r="AB45" s="146"/>
      <c r="AC45" s="405"/>
      <c r="AD45" s="405">
        <f t="shared" si="6"/>
        <v>1.6897148658824319E-4</v>
      </c>
      <c r="AE45" s="405"/>
      <c r="AF45" s="530"/>
    </row>
    <row r="46" spans="2:32" x14ac:dyDescent="0.25">
      <c r="B46" s="143"/>
      <c r="C46" s="531" t="s">
        <v>120</v>
      </c>
      <c r="D46" s="529"/>
      <c r="E46" s="528">
        <f>Ions!G9</f>
        <v>1.8808777429467086E-2</v>
      </c>
      <c r="F46" s="404">
        <f t="shared" si="0"/>
        <v>4.2269289953281589E-3</v>
      </c>
      <c r="G46" s="405" t="s">
        <v>168</v>
      </c>
      <c r="H46" s="405" t="s">
        <v>70</v>
      </c>
      <c r="I46" s="405" t="s">
        <v>161</v>
      </c>
      <c r="J46" s="405" t="s">
        <v>169</v>
      </c>
      <c r="K46" s="405"/>
      <c r="L46" s="405"/>
      <c r="M46" s="405"/>
      <c r="N46" s="405"/>
      <c r="O46" s="405"/>
      <c r="P46" s="405"/>
      <c r="Q46" s="405">
        <v>39.962600000000002</v>
      </c>
      <c r="R46" s="145" t="s">
        <v>135</v>
      </c>
      <c r="S46" s="145">
        <f t="shared" si="13"/>
        <v>39.962600000000002</v>
      </c>
      <c r="T46" s="145">
        <f t="shared" si="3"/>
        <v>0.75164764890282143</v>
      </c>
      <c r="U46" s="145"/>
      <c r="V46" s="145">
        <f t="shared" si="14"/>
        <v>1.7567583557544914E-2</v>
      </c>
      <c r="W46" s="118">
        <f t="shared" si="15"/>
        <v>1.6891907266870109E-4</v>
      </c>
      <c r="X46" s="529">
        <f t="shared" si="16"/>
        <v>4.2269289953281589E-3</v>
      </c>
      <c r="Y46" s="145"/>
      <c r="Z46" s="146"/>
      <c r="AA46" s="145"/>
      <c r="AB46" s="146"/>
      <c r="AC46" s="405"/>
      <c r="AD46" s="405">
        <f t="shared" si="6"/>
        <v>1.6891907266870109E-4</v>
      </c>
      <c r="AE46" s="405"/>
      <c r="AF46" s="530"/>
    </row>
    <row r="47" spans="2:32" x14ac:dyDescent="0.25">
      <c r="B47" s="143"/>
      <c r="C47" s="531" t="s">
        <v>120</v>
      </c>
      <c r="D47" s="529"/>
      <c r="E47" s="528">
        <f>Ions!G5</f>
        <v>2.8213166144200628E-2</v>
      </c>
      <c r="F47" s="404">
        <f t="shared" si="0"/>
        <v>6.3403934929922396E-3</v>
      </c>
      <c r="G47" s="405" t="s">
        <v>170</v>
      </c>
      <c r="H47" s="405" t="s">
        <v>70</v>
      </c>
      <c r="I47" s="405" t="s">
        <v>161</v>
      </c>
      <c r="J47" s="405" t="s">
        <v>171</v>
      </c>
      <c r="K47" s="405"/>
      <c r="L47" s="405"/>
      <c r="M47" s="405"/>
      <c r="N47" s="405"/>
      <c r="O47" s="405"/>
      <c r="P47" s="405"/>
      <c r="Q47" s="405">
        <v>55.934899999999999</v>
      </c>
      <c r="R47" s="145" t="s">
        <v>135</v>
      </c>
      <c r="S47" s="145">
        <f t="shared" si="13"/>
        <v>55.934899999999999</v>
      </c>
      <c r="T47" s="145">
        <f t="shared" si="3"/>
        <v>1.5781006269592477</v>
      </c>
      <c r="U47" s="145"/>
      <c r="V47" s="145">
        <f t="shared" si="14"/>
        <v>3.6883524703081844E-2</v>
      </c>
      <c r="W47" s="118">
        <f t="shared" si="15"/>
        <v>3.5464927599117161E-4</v>
      </c>
      <c r="X47" s="529">
        <f t="shared" si="16"/>
        <v>6.3403934929922396E-3</v>
      </c>
      <c r="Y47" s="145"/>
      <c r="Z47" s="146"/>
      <c r="AA47" s="145"/>
      <c r="AB47" s="146"/>
      <c r="AC47" s="405"/>
      <c r="AD47" s="405">
        <f t="shared" si="6"/>
        <v>3.5464927599117161E-4</v>
      </c>
      <c r="AE47" s="405"/>
      <c r="AF47" s="530"/>
    </row>
    <row r="48" spans="2:32" x14ac:dyDescent="0.25">
      <c r="B48" s="143"/>
      <c r="C48" s="531" t="s">
        <v>120</v>
      </c>
      <c r="D48" s="529"/>
      <c r="E48" s="528">
        <f>Ions!G6</f>
        <v>2.8213166144200628E-2</v>
      </c>
      <c r="F48" s="404">
        <f t="shared" si="0"/>
        <v>6.3403934929922396E-3</v>
      </c>
      <c r="G48" s="405" t="s">
        <v>172</v>
      </c>
      <c r="H48" s="405" t="s">
        <v>70</v>
      </c>
      <c r="I48" s="405" t="s">
        <v>161</v>
      </c>
      <c r="J48" s="405" t="s">
        <v>171</v>
      </c>
      <c r="K48" s="405"/>
      <c r="L48" s="405"/>
      <c r="M48" s="405"/>
      <c r="N48" s="405"/>
      <c r="O48" s="405"/>
      <c r="P48" s="405"/>
      <c r="Q48" s="405">
        <v>55.934899999999999</v>
      </c>
      <c r="R48" s="145" t="s">
        <v>135</v>
      </c>
      <c r="S48" s="145">
        <f t="shared" si="13"/>
        <v>55.934899999999999</v>
      </c>
      <c r="T48" s="145">
        <f t="shared" si="3"/>
        <v>1.5781006269592477</v>
      </c>
      <c r="U48" s="145"/>
      <c r="V48" s="145">
        <f t="shared" si="14"/>
        <v>3.6883524703081844E-2</v>
      </c>
      <c r="W48" s="118">
        <f t="shared" si="15"/>
        <v>3.5464927599117161E-4</v>
      </c>
      <c r="X48" s="529">
        <f t="shared" si="16"/>
        <v>6.3403934929922396E-3</v>
      </c>
      <c r="Y48" s="145"/>
      <c r="Z48" s="146"/>
      <c r="AA48" s="145"/>
      <c r="AB48" s="146"/>
      <c r="AC48" s="405"/>
      <c r="AD48" s="405">
        <f t="shared" si="6"/>
        <v>3.5464927599117161E-4</v>
      </c>
      <c r="AE48" s="405"/>
      <c r="AF48" s="530"/>
    </row>
    <row r="49" spans="2:32" x14ac:dyDescent="0.25">
      <c r="B49" s="143"/>
      <c r="C49" s="531" t="s">
        <v>120</v>
      </c>
      <c r="D49" s="529"/>
      <c r="E49" s="528">
        <f>Ions!G12</f>
        <v>1.2539184952978056E-2</v>
      </c>
      <c r="F49" s="404">
        <f t="shared" si="0"/>
        <v>2.8179526635521059E-3</v>
      </c>
      <c r="G49" s="405" t="s">
        <v>173</v>
      </c>
      <c r="H49" s="405" t="s">
        <v>70</v>
      </c>
      <c r="I49" s="405" t="s">
        <v>161</v>
      </c>
      <c r="J49" s="405" t="s">
        <v>174</v>
      </c>
      <c r="K49" s="405"/>
      <c r="L49" s="405"/>
      <c r="M49" s="405"/>
      <c r="N49" s="405"/>
      <c r="O49" s="405"/>
      <c r="P49" s="405"/>
      <c r="Q49" s="405">
        <v>63.545999999999999</v>
      </c>
      <c r="R49" s="145" t="s">
        <v>135</v>
      </c>
      <c r="S49" s="145">
        <f t="shared" si="13"/>
        <v>63.545999999999999</v>
      </c>
      <c r="T49" s="145">
        <f>E49*S49</f>
        <v>0.7968150470219435</v>
      </c>
      <c r="U49" s="145"/>
      <c r="V49" s="145">
        <f>T49/$U$43</f>
        <v>1.862324047564054E-2</v>
      </c>
      <c r="W49" s="118">
        <f t="shared" si="15"/>
        <v>1.7906961995808212E-4</v>
      </c>
      <c r="X49" s="529">
        <f>W49/S49*1000</f>
        <v>2.8179526635521059E-3</v>
      </c>
      <c r="Y49" s="145"/>
      <c r="Z49" s="146"/>
      <c r="AA49" s="145"/>
      <c r="AB49" s="146"/>
      <c r="AC49" s="405"/>
      <c r="AD49" s="405">
        <f t="shared" si="6"/>
        <v>1.7906961995808212E-4</v>
      </c>
      <c r="AE49" s="405"/>
      <c r="AF49" s="530"/>
    </row>
    <row r="50" spans="2:32" x14ac:dyDescent="0.25">
      <c r="B50" s="143"/>
      <c r="C50" s="531" t="s">
        <v>120</v>
      </c>
      <c r="D50" s="529"/>
      <c r="E50" s="528">
        <f>Ions!G13</f>
        <v>1.2539184952978056E-2</v>
      </c>
      <c r="F50" s="404">
        <f t="shared" si="0"/>
        <v>2.8179526635521059E-3</v>
      </c>
      <c r="G50" s="405" t="s">
        <v>175</v>
      </c>
      <c r="H50" s="405" t="s">
        <v>70</v>
      </c>
      <c r="I50" s="405" t="s">
        <v>161</v>
      </c>
      <c r="J50" s="405" t="s">
        <v>176</v>
      </c>
      <c r="K50" s="405"/>
      <c r="L50" s="405"/>
      <c r="M50" s="405"/>
      <c r="N50" s="405"/>
      <c r="O50" s="405"/>
      <c r="P50" s="405"/>
      <c r="Q50" s="405">
        <v>54.938000000000002</v>
      </c>
      <c r="R50" s="145" t="s">
        <v>135</v>
      </c>
      <c r="S50" s="145">
        <f t="shared" si="13"/>
        <v>54.938000000000002</v>
      </c>
      <c r="T50" s="145">
        <f t="shared" si="3"/>
        <v>0.68887774294670845</v>
      </c>
      <c r="U50" s="145"/>
      <c r="V50" s="145">
        <f t="shared" si="14"/>
        <v>1.6100519076743463E-2</v>
      </c>
      <c r="W50" s="118">
        <f t="shared" si="15"/>
        <v>1.548126834302256E-4</v>
      </c>
      <c r="X50" s="529">
        <f t="shared" si="16"/>
        <v>2.8179526635521059E-3</v>
      </c>
      <c r="Y50" s="145"/>
      <c r="Z50" s="146"/>
      <c r="AA50" s="145"/>
      <c r="AB50" s="146"/>
      <c r="AC50" s="405"/>
      <c r="AD50" s="405">
        <f t="shared" si="6"/>
        <v>1.548126834302256E-4</v>
      </c>
      <c r="AE50" s="405"/>
      <c r="AF50" s="530"/>
    </row>
    <row r="51" spans="2:32" x14ac:dyDescent="0.25">
      <c r="B51" s="143"/>
      <c r="C51" s="531" t="s">
        <v>120</v>
      </c>
      <c r="D51" s="529"/>
      <c r="E51" s="528">
        <f>Ions!G14</f>
        <v>1.2539184952978056E-2</v>
      </c>
      <c r="F51" s="404">
        <f t="shared" si="0"/>
        <v>2.8179526635521055E-3</v>
      </c>
      <c r="G51" s="405" t="s">
        <v>177</v>
      </c>
      <c r="H51" s="405" t="s">
        <v>70</v>
      </c>
      <c r="I51" s="405" t="s">
        <v>161</v>
      </c>
      <c r="J51" s="405" t="s">
        <v>178</v>
      </c>
      <c r="K51" s="405"/>
      <c r="L51" s="405"/>
      <c r="M51" s="405"/>
      <c r="N51" s="405"/>
      <c r="O51" s="405"/>
      <c r="P51" s="405"/>
      <c r="Q51" s="405">
        <v>159.94</v>
      </c>
      <c r="R51" s="145" t="s">
        <v>135</v>
      </c>
      <c r="S51" s="145">
        <f t="shared" si="13"/>
        <v>159.94</v>
      </c>
      <c r="T51" s="145">
        <f t="shared" si="3"/>
        <v>2.0055172413793101</v>
      </c>
      <c r="U51" s="145"/>
      <c r="V51" s="145">
        <f>T51/$U$43</f>
        <v>4.687314829688647E-2</v>
      </c>
      <c r="W51" s="118">
        <f t="shared" si="15"/>
        <v>4.5070334900852379E-4</v>
      </c>
      <c r="X51" s="529">
        <f t="shared" si="16"/>
        <v>2.8179526635521055E-3</v>
      </c>
      <c r="Y51" s="145"/>
      <c r="Z51" s="146"/>
      <c r="AA51" s="145"/>
      <c r="AB51" s="146"/>
      <c r="AC51" s="405"/>
      <c r="AD51" s="405">
        <f t="shared" si="6"/>
        <v>4.5070334900852379E-4</v>
      </c>
      <c r="AE51" s="405"/>
      <c r="AF51" s="530"/>
    </row>
    <row r="52" spans="2:32" x14ac:dyDescent="0.25">
      <c r="B52" s="143"/>
      <c r="C52" s="531" t="s">
        <v>120</v>
      </c>
      <c r="D52" s="529"/>
      <c r="E52" s="528">
        <f>Ions!G17</f>
        <v>1.2539184952978056E-2</v>
      </c>
      <c r="F52" s="404">
        <f t="shared" si="0"/>
        <v>2.8179526635521059E-3</v>
      </c>
      <c r="G52" s="405" t="s">
        <v>179</v>
      </c>
      <c r="H52" s="405" t="s">
        <v>70</v>
      </c>
      <c r="I52" s="405" t="s">
        <v>161</v>
      </c>
      <c r="J52" s="405" t="s">
        <v>180</v>
      </c>
      <c r="K52" s="405"/>
      <c r="L52" s="405"/>
      <c r="M52" s="405"/>
      <c r="N52" s="405"/>
      <c r="O52" s="405"/>
      <c r="P52" s="405"/>
      <c r="Q52" s="405">
        <v>58.933199999999999</v>
      </c>
      <c r="R52" s="145" t="s">
        <v>135</v>
      </c>
      <c r="S52" s="145">
        <f t="shared" si="13"/>
        <v>58.933199999999999</v>
      </c>
      <c r="T52" s="145">
        <f t="shared" si="3"/>
        <v>0.73897429467084641</v>
      </c>
      <c r="U52" s="145"/>
      <c r="V52" s="145">
        <f t="shared" si="14"/>
        <v>1.7271380662811493E-2</v>
      </c>
      <c r="W52" s="118">
        <f t="shared" si="15"/>
        <v>1.6607096791164898E-4</v>
      </c>
      <c r="X52" s="529">
        <f t="shared" si="16"/>
        <v>2.8179526635521059E-3</v>
      </c>
      <c r="Y52" s="145"/>
      <c r="Z52" s="146"/>
      <c r="AA52" s="145"/>
      <c r="AB52" s="146"/>
      <c r="AC52" s="405"/>
      <c r="AD52" s="405">
        <f t="shared" si="6"/>
        <v>1.6607096791164896E-4</v>
      </c>
      <c r="AE52" s="405"/>
      <c r="AF52" s="530"/>
    </row>
    <row r="53" spans="2:32" x14ac:dyDescent="0.25">
      <c r="B53" s="143"/>
      <c r="C53" s="531" t="s">
        <v>120</v>
      </c>
      <c r="D53" s="529"/>
      <c r="E53" s="528">
        <f>Ions!G15</f>
        <v>1.2539184952978056E-2</v>
      </c>
      <c r="F53" s="404">
        <f t="shared" si="0"/>
        <v>2.8179526635521059E-3</v>
      </c>
      <c r="G53" s="405" t="s">
        <v>181</v>
      </c>
      <c r="H53" s="405" t="s">
        <v>70</v>
      </c>
      <c r="I53" s="405" t="s">
        <v>161</v>
      </c>
      <c r="J53" s="405" t="s">
        <v>182</v>
      </c>
      <c r="K53" s="405"/>
      <c r="L53" s="405"/>
      <c r="M53" s="405"/>
      <c r="N53" s="405"/>
      <c r="O53" s="405"/>
      <c r="P53" s="405"/>
      <c r="Q53" s="405">
        <v>63.929099999999998</v>
      </c>
      <c r="R53" s="145" t="s">
        <v>135</v>
      </c>
      <c r="S53" s="145">
        <f t="shared" si="13"/>
        <v>63.929099999999998</v>
      </c>
      <c r="T53" s="145">
        <f t="shared" si="3"/>
        <v>0.80161880877742941</v>
      </c>
      <c r="U53" s="145"/>
      <c r="V53" s="145">
        <f t="shared" si="14"/>
        <v>1.873551447284285E-2</v>
      </c>
      <c r="W53" s="118">
        <f t="shared" si="15"/>
        <v>1.8014917762348894E-4</v>
      </c>
      <c r="X53" s="529">
        <f t="shared" si="16"/>
        <v>2.8179526635521059E-3</v>
      </c>
      <c r="Y53" s="145"/>
      <c r="Z53" s="146"/>
      <c r="AA53" s="145"/>
      <c r="AB53" s="146"/>
      <c r="AC53" s="405"/>
      <c r="AD53" s="405">
        <f t="shared" si="6"/>
        <v>1.8014917762348891E-4</v>
      </c>
      <c r="AE53" s="405"/>
      <c r="AF53" s="530"/>
    </row>
    <row r="54" spans="2:32" x14ac:dyDescent="0.25">
      <c r="B54" s="143"/>
      <c r="C54" s="531" t="s">
        <v>120</v>
      </c>
      <c r="D54" s="529"/>
      <c r="E54" s="528">
        <f>Ions!G8</f>
        <v>1.8808777429467086E-2</v>
      </c>
      <c r="F54" s="404">
        <f t="shared" si="0"/>
        <v>4.2269289953281598E-3</v>
      </c>
      <c r="G54" s="405" t="s">
        <v>183</v>
      </c>
      <c r="H54" s="405" t="s">
        <v>70</v>
      </c>
      <c r="I54" s="405" t="s">
        <v>161</v>
      </c>
      <c r="J54" s="405" t="s">
        <v>184</v>
      </c>
      <c r="K54" s="405"/>
      <c r="L54" s="405"/>
      <c r="M54" s="405"/>
      <c r="N54" s="405"/>
      <c r="O54" s="405"/>
      <c r="P54" s="405"/>
      <c r="Q54" s="405">
        <v>34.968899999999998</v>
      </c>
      <c r="R54" s="145" t="s">
        <v>135</v>
      </c>
      <c r="S54" s="145">
        <f t="shared" si="13"/>
        <v>34.968899999999998</v>
      </c>
      <c r="T54" s="145">
        <f t="shared" si="3"/>
        <v>0.65772225705329157</v>
      </c>
      <c r="U54" s="145"/>
      <c r="V54" s="145">
        <f t="shared" si="14"/>
        <v>1.5372349963852011E-2</v>
      </c>
      <c r="W54" s="118">
        <f t="shared" si="15"/>
        <v>1.4781105734473088E-4</v>
      </c>
      <c r="X54" s="529">
        <f t="shared" si="16"/>
        <v>4.2269289953281598E-3</v>
      </c>
      <c r="Y54" s="145"/>
      <c r="Z54" s="146"/>
      <c r="AA54" s="145"/>
      <c r="AB54" s="146"/>
      <c r="AC54" s="405"/>
      <c r="AD54" s="405">
        <f t="shared" si="6"/>
        <v>1.4781105734473088E-4</v>
      </c>
      <c r="AE54" s="405"/>
      <c r="AF54" s="530"/>
    </row>
    <row r="55" spans="2:32" x14ac:dyDescent="0.25">
      <c r="B55" s="143"/>
      <c r="C55" s="531"/>
      <c r="D55" s="529"/>
      <c r="E55" s="528">
        <f>Ions!G16</f>
        <v>1.2539184952978056E-2</v>
      </c>
      <c r="F55" s="404">
        <f t="shared" si="0"/>
        <v>2.8179526635521059E-3</v>
      </c>
      <c r="G55" s="405" t="s">
        <v>458</v>
      </c>
      <c r="H55" s="405" t="s">
        <v>70</v>
      </c>
      <c r="I55" s="405" t="s">
        <v>161</v>
      </c>
      <c r="J55" s="405" t="s">
        <v>461</v>
      </c>
      <c r="K55" s="405"/>
      <c r="L55" s="405"/>
      <c r="M55" s="405"/>
      <c r="N55" s="405"/>
      <c r="O55" s="405"/>
      <c r="P55" s="405"/>
      <c r="Q55" s="405">
        <v>58.693399999999997</v>
      </c>
      <c r="R55" s="145" t="s">
        <v>135</v>
      </c>
      <c r="S55" s="145">
        <f t="shared" si="13"/>
        <v>58.693399999999997</v>
      </c>
      <c r="T55" s="145">
        <f t="shared" si="3"/>
        <v>0.73596739811912215</v>
      </c>
      <c r="U55" s="145"/>
      <c r="V55" s="145">
        <f t="shared" si="14"/>
        <v>1.7201103177744634E-2</v>
      </c>
      <c r="W55" s="118">
        <f t="shared" si="15"/>
        <v>1.6539522286292919E-4</v>
      </c>
      <c r="X55" s="529">
        <f t="shared" si="16"/>
        <v>2.8179526635521059E-3</v>
      </c>
      <c r="Y55" s="145"/>
      <c r="Z55" s="146"/>
      <c r="AA55" s="145"/>
      <c r="AB55" s="146"/>
      <c r="AC55" s="405"/>
      <c r="AD55" s="405">
        <f t="shared" si="6"/>
        <v>1.6539522286292916E-4</v>
      </c>
      <c r="AE55" s="405"/>
      <c r="AF55" s="530"/>
    </row>
    <row r="56" spans="2:32" x14ac:dyDescent="0.25">
      <c r="B56" s="143"/>
      <c r="C56" s="531"/>
      <c r="D56" s="529"/>
      <c r="E56" s="528">
        <f>Ions!G10</f>
        <v>1.5673981191222569E-2</v>
      </c>
      <c r="F56" s="404">
        <f t="shared" si="0"/>
        <v>3.5224408294401324E-3</v>
      </c>
      <c r="G56" s="405" t="s">
        <v>462</v>
      </c>
      <c r="H56" s="405" t="s">
        <v>70</v>
      </c>
      <c r="I56" s="405" t="s">
        <v>161</v>
      </c>
      <c r="J56" s="405" t="s">
        <v>463</v>
      </c>
      <c r="K56" s="405"/>
      <c r="L56" s="405"/>
      <c r="M56" s="405"/>
      <c r="N56" s="405"/>
      <c r="O56" s="405"/>
      <c r="P56" s="405"/>
      <c r="Q56" s="405">
        <v>22.989799999999999</v>
      </c>
      <c r="R56" s="145" t="s">
        <v>135</v>
      </c>
      <c r="S56" s="145">
        <f t="shared" si="13"/>
        <v>22.989799999999999</v>
      </c>
      <c r="T56" s="145">
        <f t="shared" ref="T56:T58" si="17">E56*S56</f>
        <v>0.36034169278996858</v>
      </c>
      <c r="U56" s="145"/>
      <c r="V56" s="145">
        <f t="shared" si="14"/>
        <v>8.4219418587889259E-3</v>
      </c>
      <c r="W56" s="118">
        <f t="shared" si="15"/>
        <v>8.0980210180662751E-5</v>
      </c>
      <c r="X56" s="529">
        <f t="shared" si="16"/>
        <v>3.5224408294401324E-3</v>
      </c>
      <c r="Y56" s="145"/>
      <c r="Z56" s="146"/>
      <c r="AA56" s="145"/>
      <c r="AB56" s="146"/>
      <c r="AC56" s="405"/>
      <c r="AD56" s="405">
        <f t="shared" si="6"/>
        <v>8.0980210180662751E-5</v>
      </c>
      <c r="AE56" s="405"/>
      <c r="AF56" s="530"/>
    </row>
    <row r="57" spans="2:32" x14ac:dyDescent="0.25">
      <c r="B57" s="143"/>
      <c r="C57" s="531" t="s">
        <v>120</v>
      </c>
      <c r="D57" s="529"/>
      <c r="E57" s="528">
        <f>Ions!G19</f>
        <v>1.5673981191222569E-2</v>
      </c>
      <c r="F57" s="404">
        <f t="shared" si="0"/>
        <v>3.522440829440132E-3</v>
      </c>
      <c r="G57" s="405" t="s">
        <v>185</v>
      </c>
      <c r="H57" s="405" t="s">
        <v>70</v>
      </c>
      <c r="I57" s="405" t="s">
        <v>161</v>
      </c>
      <c r="J57" s="405" t="s">
        <v>186</v>
      </c>
      <c r="K57" s="405">
        <v>0</v>
      </c>
      <c r="L57" s="405">
        <v>0</v>
      </c>
      <c r="M57" s="405">
        <v>0</v>
      </c>
      <c r="N57" s="405">
        <v>4</v>
      </c>
      <c r="O57" s="405">
        <v>0</v>
      </c>
      <c r="P57" s="405">
        <v>1</v>
      </c>
      <c r="Q57" s="405">
        <f>(K57*12.011)+(L57*1.008)+(N57*15.999)+(14.007*M57)+(O57*30.974)+(P57*32.066)</f>
        <v>96.062000000000012</v>
      </c>
      <c r="R57" s="145" t="s">
        <v>135</v>
      </c>
      <c r="S57" s="145">
        <f t="shared" si="13"/>
        <v>96.062000000000012</v>
      </c>
      <c r="T57" s="145">
        <f t="shared" si="17"/>
        <v>1.5056739811912225</v>
      </c>
      <c r="U57" s="145"/>
      <c r="V57" s="145">
        <f t="shared" si="14"/>
        <v>3.5190761939598511E-2</v>
      </c>
      <c r="W57" s="118">
        <f t="shared" si="15"/>
        <v>3.3837271095767802E-4</v>
      </c>
      <c r="X57" s="529">
        <f t="shared" si="16"/>
        <v>3.522440829440132E-3</v>
      </c>
      <c r="Y57" s="145"/>
      <c r="Z57" s="146"/>
      <c r="AA57" s="145"/>
      <c r="AB57" s="146"/>
      <c r="AC57" s="405"/>
      <c r="AD57" s="405">
        <f t="shared" si="6"/>
        <v>3.3837271095767802E-4</v>
      </c>
      <c r="AE57" s="405"/>
      <c r="AF57" s="530"/>
    </row>
    <row r="58" spans="2:32" ht="15.75" thickBot="1" x14ac:dyDescent="0.3">
      <c r="B58" s="143"/>
      <c r="C58" s="531" t="s">
        <v>120</v>
      </c>
      <c r="D58" s="529"/>
      <c r="E58" s="528">
        <f>Ions!G11</f>
        <v>1.5673981191222569E-2</v>
      </c>
      <c r="F58" s="404">
        <f t="shared" si="0"/>
        <v>3.5224408294401324E-3</v>
      </c>
      <c r="G58" s="405" t="s">
        <v>187</v>
      </c>
      <c r="H58" s="405" t="s">
        <v>70</v>
      </c>
      <c r="I58" s="405" t="s">
        <v>161</v>
      </c>
      <c r="J58" s="405" t="s">
        <v>188</v>
      </c>
      <c r="K58" s="405">
        <v>0</v>
      </c>
      <c r="L58" s="405">
        <v>1</v>
      </c>
      <c r="M58" s="405">
        <v>0</v>
      </c>
      <c r="N58" s="405">
        <v>4</v>
      </c>
      <c r="O58" s="405">
        <v>1</v>
      </c>
      <c r="P58" s="405">
        <v>0</v>
      </c>
      <c r="Q58" s="405">
        <f>(K58*12.011)+(L58*1.008)+(N58*15.999)+(14.007*M58)+(O58*30.974)+(P58*32.066)</f>
        <v>95.978000000000009</v>
      </c>
      <c r="R58" s="145" t="s">
        <v>135</v>
      </c>
      <c r="S58" s="145">
        <f t="shared" si="13"/>
        <v>95.978000000000009</v>
      </c>
      <c r="T58" s="145">
        <f t="shared" si="17"/>
        <v>1.5043573667711598</v>
      </c>
      <c r="U58" s="145"/>
      <c r="V58" s="145">
        <f t="shared" si="14"/>
        <v>3.5159989896512527E-2</v>
      </c>
      <c r="W58" s="118">
        <f t="shared" si="15"/>
        <v>3.3807682592800506E-4</v>
      </c>
      <c r="X58" s="529">
        <f t="shared" si="16"/>
        <v>3.5224408294401324E-3</v>
      </c>
      <c r="Y58" s="145"/>
      <c r="Z58" s="147">
        <f>SUM(X43:X58)</f>
        <v>0.22473172491828058</v>
      </c>
      <c r="AA58" s="145" t="s">
        <v>161</v>
      </c>
      <c r="AB58" s="118">
        <f>SUM(W43:W58)</f>
        <v>9.6153846153846159E-3</v>
      </c>
      <c r="AC58" s="405"/>
      <c r="AD58" s="405">
        <f t="shared" si="6"/>
        <v>3.38076825928005E-4</v>
      </c>
      <c r="AE58" s="405"/>
      <c r="AF58" s="530">
        <f>SUM(AD43:AD58)</f>
        <v>9.6153846153846177E-3</v>
      </c>
    </row>
    <row r="59" spans="2:32" ht="15.75" thickBot="1" x14ac:dyDescent="0.3">
      <c r="B59" s="390"/>
      <c r="C59" s="532" t="s">
        <v>189</v>
      </c>
      <c r="D59" s="533">
        <f>'Macromolecular Composition'!D11</f>
        <v>2.788461538461539E-2</v>
      </c>
      <c r="E59" s="534"/>
      <c r="F59" s="535">
        <f>'Soluble pool'!H5</f>
        <v>3.3270489076189416E-2</v>
      </c>
      <c r="G59" s="534" t="s">
        <v>190</v>
      </c>
      <c r="H59" s="534" t="s">
        <v>70</v>
      </c>
      <c r="I59" s="534" t="s">
        <v>191</v>
      </c>
      <c r="J59" s="534" t="s">
        <v>192</v>
      </c>
      <c r="K59" s="534">
        <v>4</v>
      </c>
      <c r="L59" s="534">
        <v>14</v>
      </c>
      <c r="M59" s="534">
        <v>2</v>
      </c>
      <c r="N59" s="534">
        <v>0</v>
      </c>
      <c r="O59" s="534">
        <v>0</v>
      </c>
      <c r="P59" s="534">
        <v>0</v>
      </c>
      <c r="Q59" s="534">
        <f>(K59*12.011)+(L59*1.008)+(N59*15.999)+(14.007*M59)+(O59*30.974)+(P59*32.066)</f>
        <v>90.17</v>
      </c>
      <c r="R59" s="395" t="s">
        <v>135</v>
      </c>
      <c r="S59" s="396">
        <f>Q59</f>
        <v>90.17</v>
      </c>
      <c r="T59" s="396"/>
      <c r="U59" s="396"/>
      <c r="V59" s="396"/>
      <c r="W59" s="397"/>
      <c r="X59" s="536"/>
      <c r="Y59" s="537"/>
      <c r="Z59" s="534"/>
      <c r="AA59" s="534"/>
      <c r="AB59" s="534"/>
      <c r="AC59" s="534"/>
      <c r="AD59" s="534">
        <f t="shared" si="6"/>
        <v>2.9999999999999996E-3</v>
      </c>
      <c r="AE59" s="534"/>
      <c r="AF59" s="538"/>
    </row>
    <row r="60" spans="2:32" x14ac:dyDescent="0.25">
      <c r="B60" s="390"/>
      <c r="C60" s="534"/>
      <c r="D60" s="536"/>
      <c r="E60" s="534"/>
      <c r="F60" s="535">
        <f>'Soluble pool'!H7</f>
        <v>2.7916666666666671E-4</v>
      </c>
      <c r="G60" s="534" t="s">
        <v>193</v>
      </c>
      <c r="H60" s="534" t="s">
        <v>70</v>
      </c>
      <c r="I60" s="534" t="s">
        <v>194</v>
      </c>
      <c r="J60" s="534" t="s">
        <v>195</v>
      </c>
      <c r="K60" s="534">
        <v>23</v>
      </c>
      <c r="L60" s="534">
        <v>34</v>
      </c>
      <c r="M60" s="534">
        <v>7</v>
      </c>
      <c r="N60" s="539">
        <v>17</v>
      </c>
      <c r="O60" s="539">
        <v>3</v>
      </c>
      <c r="P60" s="539">
        <v>1</v>
      </c>
      <c r="Q60" s="539">
        <f>(K60*12.011)+(L60*1.008)+(N60*15.999)+(14.007*M60)+(O60*30.974)+(P60*32.066)</f>
        <v>805.54500000000007</v>
      </c>
      <c r="R60" s="395" t="s">
        <v>135</v>
      </c>
      <c r="S60" s="396">
        <f t="shared" ref="S60:S84" si="18">Q60</f>
        <v>805.54500000000007</v>
      </c>
      <c r="T60" s="539"/>
      <c r="U60" s="539"/>
      <c r="V60" s="539"/>
      <c r="W60" s="537"/>
      <c r="X60" s="536"/>
      <c r="Y60" s="537"/>
      <c r="Z60" s="534"/>
      <c r="AA60" s="534"/>
      <c r="AB60" s="534"/>
      <c r="AC60" s="534"/>
      <c r="AD60" s="534">
        <f t="shared" si="6"/>
        <v>2.2488131250000007E-4</v>
      </c>
      <c r="AE60" s="534"/>
      <c r="AF60" s="538"/>
    </row>
    <row r="61" spans="2:32" x14ac:dyDescent="0.25">
      <c r="B61" s="390"/>
      <c r="C61" s="534"/>
      <c r="D61" s="536"/>
      <c r="E61" s="534"/>
      <c r="F61" s="535">
        <f>'Soluble pool'!H8</f>
        <v>1.6750000000000003E-4</v>
      </c>
      <c r="G61" s="534" t="s">
        <v>196</v>
      </c>
      <c r="H61" s="534" t="s">
        <v>70</v>
      </c>
      <c r="I61" s="534" t="s">
        <v>194</v>
      </c>
      <c r="J61" s="534" t="s">
        <v>197</v>
      </c>
      <c r="K61" s="534">
        <v>21</v>
      </c>
      <c r="L61" s="534">
        <v>32</v>
      </c>
      <c r="M61" s="534">
        <v>7</v>
      </c>
      <c r="N61" s="539">
        <v>16</v>
      </c>
      <c r="O61" s="539">
        <v>3</v>
      </c>
      <c r="P61" s="539">
        <v>1</v>
      </c>
      <c r="Q61" s="539">
        <f t="shared" ref="Q61:Q72" si="19">(K61*12.011)+(L61*1.008)+(N61*15.999)+(14.007*M61)+(O61*30.974)+(P61*32.066)</f>
        <v>763.50800000000004</v>
      </c>
      <c r="R61" s="395" t="s">
        <v>135</v>
      </c>
      <c r="S61" s="396">
        <f t="shared" si="18"/>
        <v>763.50800000000004</v>
      </c>
      <c r="T61" s="539"/>
      <c r="U61" s="539"/>
      <c r="V61" s="539"/>
      <c r="W61" s="537"/>
      <c r="X61" s="536"/>
      <c r="Y61" s="537"/>
      <c r="Z61" s="534"/>
      <c r="AA61" s="534"/>
      <c r="AB61" s="534"/>
      <c r="AC61" s="534"/>
      <c r="AD61" s="534">
        <f t="shared" si="6"/>
        <v>1.2788759000000003E-4</v>
      </c>
      <c r="AE61" s="534"/>
      <c r="AF61" s="538"/>
    </row>
    <row r="62" spans="2:32" x14ac:dyDescent="0.25">
      <c r="B62" s="390"/>
      <c r="C62" s="534"/>
      <c r="D62" s="536"/>
      <c r="E62" s="534"/>
      <c r="F62" s="535">
        <f>'Soluble pool'!H9</f>
        <v>9.8266666666666679E-5</v>
      </c>
      <c r="G62" s="534" t="s">
        <v>198</v>
      </c>
      <c r="H62" s="534" t="s">
        <v>70</v>
      </c>
      <c r="I62" s="534" t="s">
        <v>194</v>
      </c>
      <c r="J62" s="534" t="s">
        <v>199</v>
      </c>
      <c r="K62" s="534">
        <v>25</v>
      </c>
      <c r="L62" s="534">
        <v>35</v>
      </c>
      <c r="M62" s="534">
        <v>7</v>
      </c>
      <c r="N62" s="539">
        <v>19</v>
      </c>
      <c r="O62" s="539">
        <v>3</v>
      </c>
      <c r="P62" s="539">
        <v>1</v>
      </c>
      <c r="Q62" s="539">
        <f t="shared" si="19"/>
        <v>862.57299999999998</v>
      </c>
      <c r="R62" s="395" t="s">
        <v>135</v>
      </c>
      <c r="S62" s="396">
        <f t="shared" si="18"/>
        <v>862.57299999999998</v>
      </c>
      <c r="T62" s="539"/>
      <c r="U62" s="539"/>
      <c r="V62" s="539"/>
      <c r="W62" s="537"/>
      <c r="X62" s="536"/>
      <c r="Y62" s="537"/>
      <c r="Z62" s="534"/>
      <c r="AA62" s="534"/>
      <c r="AB62" s="534"/>
      <c r="AC62" s="534"/>
      <c r="AD62" s="534">
        <f t="shared" si="6"/>
        <v>8.4762173466666676E-5</v>
      </c>
      <c r="AE62" s="534"/>
      <c r="AF62" s="538"/>
    </row>
    <row r="63" spans="2:32" x14ac:dyDescent="0.25">
      <c r="B63" s="390"/>
      <c r="C63" s="534"/>
      <c r="D63" s="536"/>
      <c r="E63" s="534"/>
      <c r="F63" s="535">
        <f>'Soluble pool'!H10</f>
        <v>3.126666666666667E-5</v>
      </c>
      <c r="G63" s="534" t="s">
        <v>200</v>
      </c>
      <c r="H63" s="534" t="s">
        <v>70</v>
      </c>
      <c r="I63" s="534" t="s">
        <v>194</v>
      </c>
      <c r="J63" s="534" t="s">
        <v>201</v>
      </c>
      <c r="K63" s="534">
        <v>24</v>
      </c>
      <c r="L63" s="534">
        <v>33</v>
      </c>
      <c r="M63" s="534">
        <v>7</v>
      </c>
      <c r="N63" s="539">
        <v>19</v>
      </c>
      <c r="O63" s="539">
        <v>3</v>
      </c>
      <c r="P63" s="539">
        <v>1</v>
      </c>
      <c r="Q63" s="539">
        <f t="shared" si="19"/>
        <v>848.54600000000005</v>
      </c>
      <c r="R63" s="395" t="s">
        <v>135</v>
      </c>
      <c r="S63" s="396">
        <f t="shared" si="18"/>
        <v>848.54600000000005</v>
      </c>
      <c r="T63" s="539"/>
      <c r="U63" s="539"/>
      <c r="V63" s="539"/>
      <c r="W63" s="537"/>
      <c r="X63" s="536"/>
      <c r="Y63" s="537"/>
      <c r="Z63" s="534"/>
      <c r="AA63" s="534"/>
      <c r="AB63" s="534"/>
      <c r="AC63" s="534"/>
      <c r="AD63" s="534">
        <f t="shared" si="6"/>
        <v>2.6531204933333338E-5</v>
      </c>
      <c r="AE63" s="534"/>
      <c r="AF63" s="538"/>
    </row>
    <row r="64" spans="2:32" x14ac:dyDescent="0.25">
      <c r="B64" s="390"/>
      <c r="C64" s="534"/>
      <c r="D64" s="536"/>
      <c r="E64" s="534"/>
      <c r="F64" s="535">
        <f>'Soluble pool'!H11</f>
        <v>1.7866666666666671E-3</v>
      </c>
      <c r="G64" s="534" t="s">
        <v>202</v>
      </c>
      <c r="H64" s="534" t="s">
        <v>70</v>
      </c>
      <c r="I64" s="534" t="s">
        <v>194</v>
      </c>
      <c r="J64" s="534" t="s">
        <v>203</v>
      </c>
      <c r="K64" s="534">
        <v>21</v>
      </c>
      <c r="L64" s="534">
        <v>26</v>
      </c>
      <c r="M64" s="534">
        <v>7</v>
      </c>
      <c r="N64" s="539">
        <v>14</v>
      </c>
      <c r="O64" s="539">
        <v>2</v>
      </c>
      <c r="P64" s="539">
        <v>0</v>
      </c>
      <c r="Q64" s="539">
        <f t="shared" si="19"/>
        <v>662.42199999999991</v>
      </c>
      <c r="R64" s="395" t="s">
        <v>135</v>
      </c>
      <c r="S64" s="396">
        <f>Q64</f>
        <v>662.42199999999991</v>
      </c>
      <c r="T64" s="539"/>
      <c r="U64" s="539"/>
      <c r="V64" s="539"/>
      <c r="W64" s="537"/>
      <c r="X64" s="536"/>
      <c r="Y64" s="537"/>
      <c r="Z64" s="534"/>
      <c r="AA64" s="534"/>
      <c r="AB64" s="534"/>
      <c r="AC64" s="534"/>
      <c r="AD64" s="534">
        <f t="shared" ref="AD64:AD84" si="20">(F64*Q64)/1000</f>
        <v>1.1835273066666666E-3</v>
      </c>
      <c r="AE64" s="534"/>
      <c r="AF64" s="538"/>
    </row>
    <row r="65" spans="2:33" x14ac:dyDescent="0.25">
      <c r="B65" s="390"/>
      <c r="C65" s="534"/>
      <c r="D65" s="536"/>
      <c r="E65" s="534"/>
      <c r="F65" s="535">
        <f>'Soluble pool'!H12</f>
        <v>4.4666666666666677E-5</v>
      </c>
      <c r="G65" s="534" t="s">
        <v>204</v>
      </c>
      <c r="H65" s="534" t="s">
        <v>70</v>
      </c>
      <c r="I65" s="534" t="s">
        <v>194</v>
      </c>
      <c r="J65" s="534" t="s">
        <v>205</v>
      </c>
      <c r="K65" s="534">
        <v>21</v>
      </c>
      <c r="L65" s="534">
        <v>27</v>
      </c>
      <c r="M65" s="534">
        <v>7</v>
      </c>
      <c r="N65" s="539">
        <v>14</v>
      </c>
      <c r="O65" s="539">
        <v>2</v>
      </c>
      <c r="P65" s="539">
        <v>0</v>
      </c>
      <c r="Q65" s="539">
        <f t="shared" si="19"/>
        <v>663.43</v>
      </c>
      <c r="R65" s="395" t="s">
        <v>135</v>
      </c>
      <c r="S65" s="396">
        <f>Q65</f>
        <v>663.43</v>
      </c>
      <c r="T65" s="539"/>
      <c r="U65" s="539"/>
      <c r="V65" s="539"/>
      <c r="W65" s="537"/>
      <c r="X65" s="536"/>
      <c r="Y65" s="537"/>
      <c r="Z65" s="534"/>
      <c r="AA65" s="534"/>
      <c r="AB65" s="534"/>
      <c r="AC65" s="534"/>
      <c r="AD65" s="534">
        <f t="shared" si="20"/>
        <v>2.9633206666666672E-5</v>
      </c>
      <c r="AE65" s="534"/>
      <c r="AF65" s="538"/>
    </row>
    <row r="66" spans="2:33" x14ac:dyDescent="0.25">
      <c r="B66" s="390"/>
      <c r="C66" s="534"/>
      <c r="D66" s="536"/>
      <c r="E66" s="534"/>
      <c r="F66" s="535">
        <f>'Soluble pool'!H13</f>
        <v>1.1166666666666669E-4</v>
      </c>
      <c r="G66" s="534" t="s">
        <v>206</v>
      </c>
      <c r="H66" s="534" t="s">
        <v>70</v>
      </c>
      <c r="I66" s="534" t="s">
        <v>194</v>
      </c>
      <c r="J66" s="534" t="s">
        <v>207</v>
      </c>
      <c r="K66" s="534">
        <v>21</v>
      </c>
      <c r="L66" s="534">
        <v>25</v>
      </c>
      <c r="M66" s="534">
        <v>7</v>
      </c>
      <c r="N66" s="539">
        <v>17</v>
      </c>
      <c r="O66" s="539">
        <v>3</v>
      </c>
      <c r="P66" s="539">
        <v>0</v>
      </c>
      <c r="Q66" s="539">
        <f t="shared" si="19"/>
        <v>740.38499999999999</v>
      </c>
      <c r="R66" s="395" t="s">
        <v>135</v>
      </c>
      <c r="S66" s="396">
        <f>Q66</f>
        <v>740.38499999999999</v>
      </c>
      <c r="T66" s="539"/>
      <c r="U66" s="539"/>
      <c r="V66" s="539"/>
      <c r="W66" s="537"/>
      <c r="X66" s="536"/>
      <c r="Y66" s="537"/>
      <c r="Z66" s="534"/>
      <c r="AA66" s="534"/>
      <c r="AB66" s="534"/>
      <c r="AC66" s="534"/>
      <c r="AD66" s="534">
        <f t="shared" si="20"/>
        <v>8.2676325000000022E-5</v>
      </c>
      <c r="AE66" s="534"/>
      <c r="AF66" s="538"/>
    </row>
    <row r="67" spans="2:33" x14ac:dyDescent="0.25">
      <c r="B67" s="390"/>
      <c r="C67" s="534"/>
      <c r="D67" s="536"/>
      <c r="E67" s="534"/>
      <c r="F67" s="535">
        <f>'Soluble pool'!H14</f>
        <v>3.3500000000000007E-4</v>
      </c>
      <c r="G67" s="534" t="s">
        <v>208</v>
      </c>
      <c r="H67" s="534" t="s">
        <v>70</v>
      </c>
      <c r="I67" s="534" t="s">
        <v>194</v>
      </c>
      <c r="J67" s="534" t="s">
        <v>209</v>
      </c>
      <c r="K67" s="534">
        <v>21</v>
      </c>
      <c r="L67" s="534">
        <v>26</v>
      </c>
      <c r="M67" s="534">
        <v>7</v>
      </c>
      <c r="N67" s="539">
        <v>17</v>
      </c>
      <c r="O67" s="539">
        <v>3</v>
      </c>
      <c r="P67" s="539">
        <v>0</v>
      </c>
      <c r="Q67" s="539">
        <f t="shared" si="19"/>
        <v>741.39300000000003</v>
      </c>
      <c r="R67" s="395" t="s">
        <v>135</v>
      </c>
      <c r="S67" s="396">
        <f>Q67</f>
        <v>741.39300000000003</v>
      </c>
      <c r="T67" s="539"/>
      <c r="U67" s="539"/>
      <c r="V67" s="539"/>
      <c r="W67" s="537"/>
      <c r="X67" s="536"/>
      <c r="Y67" s="537"/>
      <c r="Z67" s="534"/>
      <c r="AA67" s="534"/>
      <c r="AB67" s="534"/>
      <c r="AC67" s="534"/>
      <c r="AD67" s="534">
        <f t="shared" si="20"/>
        <v>2.4836665500000007E-4</v>
      </c>
      <c r="AE67" s="534"/>
      <c r="AF67" s="538"/>
    </row>
    <row r="68" spans="2:33" x14ac:dyDescent="0.25">
      <c r="B68" s="390"/>
      <c r="C68" s="534"/>
      <c r="D68" s="536"/>
      <c r="E68" s="534"/>
      <c r="F68" s="535">
        <f>'Soluble pool'!H32</f>
        <v>2.2333333333333339E-4</v>
      </c>
      <c r="G68" s="534" t="s">
        <v>210</v>
      </c>
      <c r="H68" s="534" t="s">
        <v>70</v>
      </c>
      <c r="I68" s="534" t="s">
        <v>194</v>
      </c>
      <c r="J68" s="534" t="s">
        <v>211</v>
      </c>
      <c r="K68" s="534">
        <v>27</v>
      </c>
      <c r="L68" s="534">
        <v>31</v>
      </c>
      <c r="M68" s="534">
        <v>9</v>
      </c>
      <c r="N68" s="539">
        <v>15</v>
      </c>
      <c r="O68" s="539">
        <v>2</v>
      </c>
      <c r="P68" s="539">
        <v>0</v>
      </c>
      <c r="Q68" s="539">
        <f t="shared" si="19"/>
        <v>783.54099999999994</v>
      </c>
      <c r="R68" s="395" t="s">
        <v>135</v>
      </c>
      <c r="S68" s="396">
        <f t="shared" si="18"/>
        <v>783.54099999999994</v>
      </c>
      <c r="T68" s="539"/>
      <c r="U68" s="539"/>
      <c r="V68" s="539"/>
      <c r="W68" s="537"/>
      <c r="X68" s="536"/>
      <c r="Y68" s="537"/>
      <c r="Z68" s="534"/>
      <c r="AA68" s="534"/>
      <c r="AB68" s="534"/>
      <c r="AC68" s="534"/>
      <c r="AD68" s="534">
        <f t="shared" si="20"/>
        <v>1.7499082333333334E-4</v>
      </c>
      <c r="AE68" s="534"/>
      <c r="AF68" s="538"/>
    </row>
    <row r="69" spans="2:33" x14ac:dyDescent="0.25">
      <c r="B69" s="390"/>
      <c r="C69" s="534"/>
      <c r="D69" s="536"/>
      <c r="E69" s="534"/>
      <c r="F69" s="535">
        <f>'Soluble pool'!H17</f>
        <v>2.2333333333333339E-4</v>
      </c>
      <c r="G69" s="534" t="s">
        <v>212</v>
      </c>
      <c r="H69" s="534" t="s">
        <v>70</v>
      </c>
      <c r="I69" s="534" t="s">
        <v>194</v>
      </c>
      <c r="J69" s="534" t="s">
        <v>213</v>
      </c>
      <c r="K69" s="534">
        <v>19</v>
      </c>
      <c r="L69" s="534">
        <v>21</v>
      </c>
      <c r="M69" s="534">
        <v>7</v>
      </c>
      <c r="N69" s="539">
        <v>6</v>
      </c>
      <c r="O69" s="539">
        <v>0</v>
      </c>
      <c r="P69" s="539">
        <v>0</v>
      </c>
      <c r="Q69" s="539">
        <f t="shared" si="19"/>
        <v>443.41999999999996</v>
      </c>
      <c r="R69" s="395" t="s">
        <v>135</v>
      </c>
      <c r="S69" s="396">
        <f t="shared" si="18"/>
        <v>443.41999999999996</v>
      </c>
      <c r="T69" s="539"/>
      <c r="U69" s="539"/>
      <c r="V69" s="539"/>
      <c r="W69" s="537"/>
      <c r="X69" s="536"/>
      <c r="Y69" s="537"/>
      <c r="Z69" s="534"/>
      <c r="AA69" s="534"/>
      <c r="AB69" s="534"/>
      <c r="AC69" s="534"/>
      <c r="AD69" s="534">
        <f t="shared" si="20"/>
        <v>9.9030466666666673E-5</v>
      </c>
      <c r="AE69" s="534"/>
      <c r="AF69" s="538"/>
    </row>
    <row r="70" spans="2:33" x14ac:dyDescent="0.25">
      <c r="B70" s="390"/>
      <c r="C70" s="534"/>
      <c r="D70" s="536"/>
      <c r="E70" s="534"/>
      <c r="F70" s="535">
        <f>'Soluble pool'!H18</f>
        <v>2.2333333333333339E-4</v>
      </c>
      <c r="G70" s="534" t="s">
        <v>214</v>
      </c>
      <c r="H70" s="534" t="s">
        <v>70</v>
      </c>
      <c r="I70" s="534" t="s">
        <v>194</v>
      </c>
      <c r="J70" s="534" t="s">
        <v>215</v>
      </c>
      <c r="K70" s="534">
        <v>20</v>
      </c>
      <c r="L70" s="534">
        <v>21</v>
      </c>
      <c r="M70" s="534">
        <v>7</v>
      </c>
      <c r="N70" s="539">
        <v>6</v>
      </c>
      <c r="O70" s="539">
        <v>0</v>
      </c>
      <c r="P70" s="539">
        <v>0</v>
      </c>
      <c r="Q70" s="539">
        <f t="shared" si="19"/>
        <v>455.43099999999993</v>
      </c>
      <c r="R70" s="395" t="s">
        <v>135</v>
      </c>
      <c r="S70" s="396">
        <f>Q70</f>
        <v>455.43099999999993</v>
      </c>
      <c r="T70" s="539"/>
      <c r="U70" s="539"/>
      <c r="V70" s="539"/>
      <c r="W70" s="537"/>
      <c r="X70" s="536"/>
      <c r="Y70" s="537"/>
      <c r="Z70" s="534"/>
      <c r="AA70" s="534"/>
      <c r="AB70" s="534"/>
      <c r="AC70" s="534"/>
      <c r="AD70" s="534">
        <f t="shared" si="20"/>
        <v>1.0171292333333334E-4</v>
      </c>
      <c r="AE70" s="534"/>
      <c r="AF70" s="538"/>
    </row>
    <row r="71" spans="2:33" x14ac:dyDescent="0.25">
      <c r="B71" s="390"/>
      <c r="C71" s="534"/>
      <c r="D71" s="536"/>
      <c r="E71" s="534"/>
      <c r="F71" s="535">
        <f>'Soluble pool'!H19</f>
        <v>2.2333333333333339E-4</v>
      </c>
      <c r="G71" s="534" t="s">
        <v>216</v>
      </c>
      <c r="H71" s="534" t="s">
        <v>70</v>
      </c>
      <c r="I71" s="534" t="s">
        <v>194</v>
      </c>
      <c r="J71" s="534" t="s">
        <v>217</v>
      </c>
      <c r="K71" s="534">
        <v>20</v>
      </c>
      <c r="L71" s="534">
        <v>24</v>
      </c>
      <c r="M71" s="534">
        <v>7</v>
      </c>
      <c r="N71" s="539">
        <v>6</v>
      </c>
      <c r="O71" s="539">
        <v>0</v>
      </c>
      <c r="P71" s="539">
        <v>0</v>
      </c>
      <c r="Q71" s="539">
        <f t="shared" si="19"/>
        <v>458.45499999999993</v>
      </c>
      <c r="R71" s="395" t="s">
        <v>135</v>
      </c>
      <c r="S71" s="396">
        <f>Q71</f>
        <v>458.45499999999993</v>
      </c>
      <c r="T71" s="539"/>
      <c r="U71" s="539"/>
      <c r="V71" s="539"/>
      <c r="W71" s="537"/>
      <c r="X71" s="536"/>
      <c r="Y71" s="537"/>
      <c r="Z71" s="534"/>
      <c r="AA71" s="534"/>
      <c r="AB71" s="534"/>
      <c r="AC71" s="534"/>
      <c r="AD71" s="534">
        <f t="shared" si="20"/>
        <v>1.0238828333333334E-4</v>
      </c>
      <c r="AE71" s="534"/>
      <c r="AF71" s="538"/>
    </row>
    <row r="72" spans="2:33" x14ac:dyDescent="0.25">
      <c r="B72" s="390"/>
      <c r="C72" s="534"/>
      <c r="D72" s="536"/>
      <c r="E72" s="534"/>
      <c r="F72" s="535">
        <f>'Soluble pool'!H23</f>
        <v>2.2333333333333339E-4</v>
      </c>
      <c r="G72" s="534" t="s">
        <v>222</v>
      </c>
      <c r="H72" s="534" t="s">
        <v>70</v>
      </c>
      <c r="I72" s="534" t="s">
        <v>194</v>
      </c>
      <c r="J72" s="534" t="s">
        <v>223</v>
      </c>
      <c r="K72" s="534">
        <v>8</v>
      </c>
      <c r="L72" s="534">
        <v>8</v>
      </c>
      <c r="M72" s="534">
        <v>1</v>
      </c>
      <c r="N72" s="539">
        <v>6</v>
      </c>
      <c r="O72" s="539">
        <v>1</v>
      </c>
      <c r="P72" s="539">
        <v>0</v>
      </c>
      <c r="Q72" s="539">
        <f t="shared" si="19"/>
        <v>245.12699999999998</v>
      </c>
      <c r="R72" s="395" t="s">
        <v>135</v>
      </c>
      <c r="S72" s="396">
        <f t="shared" si="18"/>
        <v>245.12699999999998</v>
      </c>
      <c r="T72" s="539"/>
      <c r="U72" s="539"/>
      <c r="V72" s="539"/>
      <c r="W72" s="537"/>
      <c r="X72" s="536"/>
      <c r="Y72" s="537"/>
      <c r="Z72" s="534"/>
      <c r="AA72" s="534"/>
      <c r="AB72" s="534"/>
      <c r="AC72" s="534"/>
      <c r="AD72" s="534">
        <f t="shared" si="20"/>
        <v>5.4745030000000007E-5</v>
      </c>
      <c r="AE72" s="534"/>
      <c r="AF72" s="538"/>
    </row>
    <row r="73" spans="2:33" x14ac:dyDescent="0.25">
      <c r="B73" s="390"/>
      <c r="C73" s="534"/>
      <c r="D73" s="536"/>
      <c r="E73" s="534"/>
      <c r="F73" s="535">
        <f>'Soluble pool'!H28</f>
        <v>2.2333333333333339E-4</v>
      </c>
      <c r="G73" s="534" t="s">
        <v>224</v>
      </c>
      <c r="H73" s="534" t="s">
        <v>70</v>
      </c>
      <c r="I73" s="534" t="s">
        <v>194</v>
      </c>
      <c r="J73" s="534" t="s">
        <v>225</v>
      </c>
      <c r="K73" s="534">
        <v>49</v>
      </c>
      <c r="L73" s="534">
        <v>56</v>
      </c>
      <c r="M73" s="534">
        <v>4</v>
      </c>
      <c r="N73" s="539">
        <v>5</v>
      </c>
      <c r="O73" s="539">
        <v>0</v>
      </c>
      <c r="P73" s="539">
        <v>0</v>
      </c>
      <c r="Q73" s="539">
        <f>(K73*12.011)+(L73*1.008)+(N73*15.999)+(14.007*M73)+(O73*30.974)+(P73*32.066)+Q47</f>
        <v>836.94489999999996</v>
      </c>
      <c r="R73" s="395" t="s">
        <v>135</v>
      </c>
      <c r="S73" s="396">
        <f t="shared" si="18"/>
        <v>836.94489999999996</v>
      </c>
      <c r="T73" s="539"/>
      <c r="U73" s="539"/>
      <c r="V73" s="539"/>
      <c r="W73" s="537"/>
      <c r="X73" s="536"/>
      <c r="Y73" s="537"/>
      <c r="Z73" s="534"/>
      <c r="AA73" s="534"/>
      <c r="AB73" s="534"/>
      <c r="AC73" s="534"/>
      <c r="AD73" s="534">
        <f t="shared" si="20"/>
        <v>1.8691769433333335E-4</v>
      </c>
      <c r="AE73" s="534"/>
      <c r="AF73" s="538"/>
    </row>
    <row r="74" spans="2:33" x14ac:dyDescent="0.25">
      <c r="B74" s="390"/>
      <c r="C74" s="534"/>
      <c r="D74" s="536"/>
      <c r="E74" s="534"/>
      <c r="F74" s="535">
        <f>'Soluble pool'!H29</f>
        <v>2.2333333333333339E-4</v>
      </c>
      <c r="G74" s="534" t="s">
        <v>226</v>
      </c>
      <c r="H74" s="534" t="s">
        <v>70</v>
      </c>
      <c r="I74" s="534" t="s">
        <v>194</v>
      </c>
      <c r="J74" s="534" t="s">
        <v>227</v>
      </c>
      <c r="K74" s="534">
        <v>39</v>
      </c>
      <c r="L74" s="534">
        <v>30</v>
      </c>
      <c r="M74" s="534">
        <v>4</v>
      </c>
      <c r="N74" s="539">
        <v>5</v>
      </c>
      <c r="O74" s="539">
        <v>0</v>
      </c>
      <c r="P74" s="539">
        <v>0</v>
      </c>
      <c r="Q74" s="539">
        <f>(K74*12.011)+(L74*1.008)+(N74*15.999)+(14.007*M74)+(O74*30.974)+(P74*32.066)+Q47</f>
        <v>690.62689999999998</v>
      </c>
      <c r="R74" s="395" t="s">
        <v>135</v>
      </c>
      <c r="S74" s="396">
        <f>Q74</f>
        <v>690.62689999999998</v>
      </c>
      <c r="T74" s="539"/>
      <c r="U74" s="539"/>
      <c r="V74" s="539"/>
      <c r="W74" s="537"/>
      <c r="X74" s="536"/>
      <c r="Y74" s="537"/>
      <c r="Z74" s="534"/>
      <c r="AA74" s="534"/>
      <c r="AB74" s="534"/>
      <c r="AC74" s="534"/>
      <c r="AD74" s="534">
        <f t="shared" si="20"/>
        <v>1.5424000766666671E-4</v>
      </c>
      <c r="AE74" s="534"/>
      <c r="AF74" s="538"/>
    </row>
    <row r="75" spans="2:33" x14ac:dyDescent="0.25">
      <c r="B75" s="390"/>
      <c r="C75" s="534"/>
      <c r="D75" s="536"/>
      <c r="E75" s="534"/>
      <c r="F75" s="535">
        <f>'Soluble pool'!H30</f>
        <v>2.2333333333333339E-4</v>
      </c>
      <c r="G75" s="534" t="s">
        <v>228</v>
      </c>
      <c r="H75" s="534" t="s">
        <v>70</v>
      </c>
      <c r="I75" s="534" t="s">
        <v>194</v>
      </c>
      <c r="J75" s="534" t="s">
        <v>229</v>
      </c>
      <c r="K75" s="534">
        <v>42</v>
      </c>
      <c r="L75" s="534">
        <v>36</v>
      </c>
      <c r="M75" s="534">
        <v>4</v>
      </c>
      <c r="N75" s="539">
        <v>16</v>
      </c>
      <c r="O75" s="539">
        <v>0</v>
      </c>
      <c r="P75" s="539">
        <v>0</v>
      </c>
      <c r="Q75" s="539">
        <f>(K75*12.011)+(L75*1.008)+(N75*15.999)+(14.007*M75)+(O75*30.974)+(P75*32.066)+Q47</f>
        <v>908.69690000000003</v>
      </c>
      <c r="R75" s="395" t="s">
        <v>135</v>
      </c>
      <c r="S75" s="396">
        <f>Q75</f>
        <v>908.69690000000003</v>
      </c>
      <c r="T75" s="539"/>
      <c r="U75" s="539"/>
      <c r="V75" s="539"/>
      <c r="W75" s="537"/>
      <c r="X75" s="536"/>
      <c r="Y75" s="537"/>
      <c r="Z75" s="534"/>
      <c r="AA75" s="534"/>
      <c r="AB75" s="534"/>
      <c r="AC75" s="534"/>
      <c r="AD75" s="534">
        <f t="shared" si="20"/>
        <v>2.029423076666667E-4</v>
      </c>
      <c r="AE75" s="534"/>
      <c r="AF75" s="538"/>
    </row>
    <row r="76" spans="2:33" x14ac:dyDescent="0.25">
      <c r="B76" s="390"/>
      <c r="C76" s="534"/>
      <c r="D76" s="536"/>
      <c r="E76" s="534"/>
      <c r="F76" s="535">
        <f>'Soluble pool'!H15</f>
        <v>5.535259603675412E-5</v>
      </c>
      <c r="G76" s="534" t="s">
        <v>235</v>
      </c>
      <c r="H76" s="534" t="s">
        <v>70</v>
      </c>
      <c r="I76" s="534" t="s">
        <v>194</v>
      </c>
      <c r="J76" s="534" t="s">
        <v>236</v>
      </c>
      <c r="K76" s="534">
        <v>55</v>
      </c>
      <c r="L76" s="534">
        <v>89</v>
      </c>
      <c r="M76" s="534">
        <v>0</v>
      </c>
      <c r="N76" s="539">
        <v>7</v>
      </c>
      <c r="O76" s="539">
        <v>2</v>
      </c>
      <c r="P76" s="539">
        <v>0</v>
      </c>
      <c r="Q76" s="539">
        <f t="shared" ref="Q76:Q86" si="21">(K76*12.011)+(L76*1.008)+(N76*15.999)+(14.007*M76)+(O76*30.974)+(P76*32.066)</f>
        <v>924.25799999999992</v>
      </c>
      <c r="R76" s="395" t="s">
        <v>135</v>
      </c>
      <c r="S76" s="396">
        <f t="shared" si="18"/>
        <v>924.25799999999992</v>
      </c>
      <c r="T76" s="539"/>
      <c r="U76" s="539"/>
      <c r="V76" s="539"/>
      <c r="W76" s="537"/>
      <c r="X76" s="536"/>
      <c r="Y76" s="537"/>
      <c r="Z76" s="534"/>
      <c r="AA76" s="534"/>
      <c r="AB76" s="534"/>
      <c r="AC76" s="534"/>
      <c r="AD76" s="534">
        <f t="shared" si="20"/>
        <v>5.1160079707738285E-5</v>
      </c>
      <c r="AE76" s="534"/>
      <c r="AF76" s="538"/>
    </row>
    <row r="77" spans="2:33" x14ac:dyDescent="0.25">
      <c r="B77" s="390"/>
      <c r="C77" s="534"/>
      <c r="D77" s="536"/>
      <c r="E77" s="534"/>
      <c r="F77" s="535">
        <f>'Soluble pool'!H16</f>
        <v>2.2333333333333339E-4</v>
      </c>
      <c r="G77" s="534" t="s">
        <v>237</v>
      </c>
      <c r="H77" s="534" t="s">
        <v>70</v>
      </c>
      <c r="I77" s="534" t="s">
        <v>194</v>
      </c>
      <c r="J77" s="534" t="s">
        <v>238</v>
      </c>
      <c r="K77" s="534">
        <v>20</v>
      </c>
      <c r="L77" s="534">
        <v>21</v>
      </c>
      <c r="M77" s="534">
        <v>7</v>
      </c>
      <c r="N77" s="539">
        <v>7</v>
      </c>
      <c r="O77" s="539">
        <v>0</v>
      </c>
      <c r="P77" s="539">
        <v>0</v>
      </c>
      <c r="Q77" s="539">
        <f t="shared" si="21"/>
        <v>471.42999999999995</v>
      </c>
      <c r="R77" s="395" t="s">
        <v>135</v>
      </c>
      <c r="S77" s="396">
        <f t="shared" si="18"/>
        <v>471.42999999999995</v>
      </c>
      <c r="T77" s="539"/>
      <c r="U77" s="539"/>
      <c r="V77" s="539"/>
      <c r="W77" s="537"/>
      <c r="X77" s="536"/>
      <c r="Y77" s="537"/>
      <c r="Z77" s="534"/>
      <c r="AA77" s="534"/>
      <c r="AB77" s="534"/>
      <c r="AC77" s="534"/>
      <c r="AD77" s="534">
        <f t="shared" si="20"/>
        <v>1.0528603333333335E-4</v>
      </c>
      <c r="AE77" s="534"/>
      <c r="AF77" s="538"/>
    </row>
    <row r="78" spans="2:33" x14ac:dyDescent="0.25">
      <c r="B78" s="390"/>
      <c r="C78" s="534"/>
      <c r="D78" s="536"/>
      <c r="E78" s="534"/>
      <c r="F78" s="535">
        <f>'Soluble pool'!H20</f>
        <v>2.2333333333333339E-4</v>
      </c>
      <c r="G78" s="534" t="s">
        <v>239</v>
      </c>
      <c r="H78" s="534" t="s">
        <v>70</v>
      </c>
      <c r="I78" s="534" t="s">
        <v>194</v>
      </c>
      <c r="J78" s="534" t="s">
        <v>240</v>
      </c>
      <c r="K78" s="534">
        <v>10</v>
      </c>
      <c r="L78" s="534">
        <v>8</v>
      </c>
      <c r="M78" s="534">
        <v>0</v>
      </c>
      <c r="N78" s="539">
        <v>6</v>
      </c>
      <c r="O78" s="539">
        <v>0</v>
      </c>
      <c r="P78" s="539">
        <v>0</v>
      </c>
      <c r="Q78" s="539">
        <f t="shared" si="21"/>
        <v>224.16799999999998</v>
      </c>
      <c r="R78" s="395" t="s">
        <v>135</v>
      </c>
      <c r="S78" s="396">
        <f t="shared" si="18"/>
        <v>224.16799999999998</v>
      </c>
      <c r="T78" s="539"/>
      <c r="U78" s="539"/>
      <c r="V78" s="539"/>
      <c r="W78" s="537"/>
      <c r="X78" s="536"/>
      <c r="Y78" s="537"/>
      <c r="Z78" s="534"/>
      <c r="AA78" s="534"/>
      <c r="AB78" s="534"/>
      <c r="AC78" s="534"/>
      <c r="AD78" s="534">
        <f t="shared" si="20"/>
        <v>5.0064186666666676E-5</v>
      </c>
      <c r="AE78" s="534"/>
      <c r="AF78" s="538"/>
    </row>
    <row r="79" spans="2:33" x14ac:dyDescent="0.25">
      <c r="B79" s="390"/>
      <c r="C79" s="534"/>
      <c r="D79" s="536"/>
      <c r="E79" s="534"/>
      <c r="F79" s="535">
        <f>'Soluble pool'!H24</f>
        <v>2.2333333333333339E-4</v>
      </c>
      <c r="G79" s="534" t="s">
        <v>241</v>
      </c>
      <c r="H79" s="534" t="s">
        <v>70</v>
      </c>
      <c r="I79" s="534" t="s">
        <v>194</v>
      </c>
      <c r="J79" s="534" t="s">
        <v>242</v>
      </c>
      <c r="K79" s="534">
        <v>15</v>
      </c>
      <c r="L79" s="534">
        <v>23</v>
      </c>
      <c r="M79" s="534">
        <v>6</v>
      </c>
      <c r="N79" s="539">
        <v>5</v>
      </c>
      <c r="O79" s="539">
        <v>0</v>
      </c>
      <c r="P79" s="539">
        <v>1</v>
      </c>
      <c r="Q79" s="539">
        <f t="shared" si="21"/>
        <v>399.452</v>
      </c>
      <c r="R79" s="395" t="s">
        <v>135</v>
      </c>
      <c r="S79" s="396">
        <f t="shared" si="18"/>
        <v>399.452</v>
      </c>
      <c r="T79" s="539"/>
      <c r="U79" s="539"/>
      <c r="V79" s="539"/>
      <c r="W79" s="537"/>
      <c r="X79" s="536"/>
      <c r="Y79" s="537"/>
      <c r="Z79" s="534"/>
      <c r="AA79" s="534"/>
      <c r="AB79" s="534"/>
      <c r="AC79" s="534"/>
      <c r="AD79" s="534">
        <f t="shared" si="20"/>
        <v>8.9210946666666696E-5</v>
      </c>
      <c r="AE79" s="534"/>
      <c r="AF79" s="538"/>
    </row>
    <row r="80" spans="2:33" x14ac:dyDescent="0.25">
      <c r="B80" s="390"/>
      <c r="C80" s="534"/>
      <c r="D80" s="536"/>
      <c r="E80" s="534"/>
      <c r="F80" s="535">
        <f>'Soluble pool'!H31</f>
        <v>2.2333333333333339E-4</v>
      </c>
      <c r="G80" s="534" t="s">
        <v>243</v>
      </c>
      <c r="H80" s="534" t="s">
        <v>70</v>
      </c>
      <c r="I80" s="534" t="s">
        <v>194</v>
      </c>
      <c r="J80" s="534" t="s">
        <v>244</v>
      </c>
      <c r="K80" s="534">
        <v>17</v>
      </c>
      <c r="L80" s="534">
        <v>20</v>
      </c>
      <c r="M80" s="534">
        <v>4</v>
      </c>
      <c r="N80" s="539">
        <v>6</v>
      </c>
      <c r="O80" s="539">
        <v>0</v>
      </c>
      <c r="P80" s="539">
        <v>0</v>
      </c>
      <c r="Q80" s="539">
        <f t="shared" si="21"/>
        <v>376.36900000000003</v>
      </c>
      <c r="R80" s="395" t="s">
        <v>135</v>
      </c>
      <c r="S80" s="396">
        <f t="shared" si="18"/>
        <v>376.36900000000003</v>
      </c>
      <c r="T80" s="539"/>
      <c r="U80" s="539"/>
      <c r="V80" s="539"/>
      <c r="W80" s="537"/>
      <c r="X80" s="536"/>
      <c r="Y80" s="537"/>
      <c r="Z80" s="534"/>
      <c r="AA80" s="534"/>
      <c r="AB80" s="534"/>
      <c r="AC80" s="534"/>
      <c r="AD80" s="534">
        <f t="shared" si="20"/>
        <v>8.4055743333333357E-5</v>
      </c>
      <c r="AE80" s="534"/>
      <c r="AF80" s="540"/>
      <c r="AG80" s="541"/>
    </row>
    <row r="81" spans="2:33" x14ac:dyDescent="0.25">
      <c r="B81" s="390"/>
      <c r="C81" s="534"/>
      <c r="D81" s="536"/>
      <c r="E81" s="534"/>
      <c r="F81" s="535">
        <f>'Soluble pool'!H33</f>
        <v>2.2333333333333339E-4</v>
      </c>
      <c r="G81" s="389" t="s">
        <v>444</v>
      </c>
      <c r="H81" s="534" t="s">
        <v>70</v>
      </c>
      <c r="I81" s="534" t="s">
        <v>194</v>
      </c>
      <c r="J81" s="534" t="s">
        <v>464</v>
      </c>
      <c r="K81" s="534">
        <v>0</v>
      </c>
      <c r="L81" s="534">
        <v>0</v>
      </c>
      <c r="M81" s="534">
        <v>0</v>
      </c>
      <c r="N81" s="539">
        <v>0</v>
      </c>
      <c r="O81" s="539">
        <v>0</v>
      </c>
      <c r="P81" s="539">
        <v>2</v>
      </c>
      <c r="Q81" s="539">
        <v>175.82140000000001</v>
      </c>
      <c r="R81" s="395" t="s">
        <v>135</v>
      </c>
      <c r="S81" s="396">
        <f t="shared" si="18"/>
        <v>175.82140000000001</v>
      </c>
      <c r="T81" s="539"/>
      <c r="U81" s="539"/>
      <c r="V81" s="539"/>
      <c r="W81" s="537"/>
      <c r="X81" s="536"/>
      <c r="Y81" s="537"/>
      <c r="Z81" s="534"/>
      <c r="AA81" s="534"/>
      <c r="AB81" s="534"/>
      <c r="AC81" s="534"/>
      <c r="AD81" s="534">
        <f t="shared" si="20"/>
        <v>3.9266779333333341E-5</v>
      </c>
      <c r="AE81" s="534"/>
      <c r="AF81" s="538"/>
      <c r="AG81" s="541"/>
    </row>
    <row r="82" spans="2:33" x14ac:dyDescent="0.25">
      <c r="B82" s="390"/>
      <c r="C82" s="534"/>
      <c r="D82" s="536"/>
      <c r="E82" s="534"/>
      <c r="F82" s="535">
        <f>'Soluble pool'!H34</f>
        <v>2.2333333333333339E-4</v>
      </c>
      <c r="G82" s="389" t="s">
        <v>445</v>
      </c>
      <c r="H82" s="534" t="s">
        <v>70</v>
      </c>
      <c r="I82" s="534" t="s">
        <v>194</v>
      </c>
      <c r="J82" s="534" t="s">
        <v>465</v>
      </c>
      <c r="K82" s="534">
        <v>0</v>
      </c>
      <c r="L82" s="534">
        <v>0</v>
      </c>
      <c r="M82" s="534">
        <v>0</v>
      </c>
      <c r="N82" s="539">
        <v>0</v>
      </c>
      <c r="O82" s="539">
        <v>0</v>
      </c>
      <c r="P82" s="539">
        <v>4</v>
      </c>
      <c r="Q82" s="539">
        <v>351.64280000000002</v>
      </c>
      <c r="R82" s="395" t="s">
        <v>135</v>
      </c>
      <c r="S82" s="396">
        <f t="shared" si="18"/>
        <v>351.64280000000002</v>
      </c>
      <c r="T82" s="539"/>
      <c r="U82" s="539"/>
      <c r="V82" s="539"/>
      <c r="W82" s="537"/>
      <c r="X82" s="536"/>
      <c r="Y82" s="537"/>
      <c r="Z82" s="534"/>
      <c r="AA82" s="534"/>
      <c r="AB82" s="534"/>
      <c r="AC82" s="534"/>
      <c r="AD82" s="534">
        <f t="shared" si="20"/>
        <v>7.8533558666666681E-5</v>
      </c>
      <c r="AE82" s="534"/>
      <c r="AF82" s="538"/>
      <c r="AG82" s="541"/>
    </row>
    <row r="83" spans="2:33" x14ac:dyDescent="0.25">
      <c r="B83" s="390"/>
      <c r="C83" s="534"/>
      <c r="D83" s="536"/>
      <c r="E83" s="534"/>
      <c r="F83" s="535">
        <f>'Soluble pool'!H36</f>
        <v>2.2333333333333339E-4</v>
      </c>
      <c r="G83" s="389" t="s">
        <v>450</v>
      </c>
      <c r="H83" s="534" t="s">
        <v>70</v>
      </c>
      <c r="I83" s="534" t="s">
        <v>194</v>
      </c>
      <c r="J83" s="534" t="s">
        <v>467</v>
      </c>
      <c r="K83" s="534">
        <v>20</v>
      </c>
      <c r="L83" s="534">
        <v>27</v>
      </c>
      <c r="M83" s="534">
        <v>7</v>
      </c>
      <c r="N83" s="539">
        <v>9</v>
      </c>
      <c r="O83" s="539">
        <v>1</v>
      </c>
      <c r="P83" s="539">
        <v>1</v>
      </c>
      <c r="Q83" s="539">
        <v>572.51130000000001</v>
      </c>
      <c r="R83" s="395" t="s">
        <v>135</v>
      </c>
      <c r="S83" s="396">
        <f t="shared" si="18"/>
        <v>572.51130000000001</v>
      </c>
      <c r="T83" s="539"/>
      <c r="U83" s="539"/>
      <c r="V83" s="539"/>
      <c r="W83" s="537"/>
      <c r="X83" s="536"/>
      <c r="Y83" s="537"/>
      <c r="Z83" s="534"/>
      <c r="AA83" s="534"/>
      <c r="AB83" s="534"/>
      <c r="AC83" s="534"/>
      <c r="AD83" s="534">
        <f t="shared" si="20"/>
        <v>1.2786085700000003E-4</v>
      </c>
      <c r="AE83" s="534"/>
      <c r="AF83" s="538"/>
      <c r="AG83" s="541"/>
    </row>
    <row r="84" spans="2:33" x14ac:dyDescent="0.25">
      <c r="B84" s="390"/>
      <c r="C84" s="534"/>
      <c r="D84" s="536"/>
      <c r="E84" s="534"/>
      <c r="F84" s="535">
        <f>'Soluble pool'!H37</f>
        <v>2.2333333333333339E-4</v>
      </c>
      <c r="G84" s="389" t="s">
        <v>446</v>
      </c>
      <c r="H84" s="534" t="s">
        <v>70</v>
      </c>
      <c r="I84" s="534" t="s">
        <v>194</v>
      </c>
      <c r="J84" s="534" t="s">
        <v>468</v>
      </c>
      <c r="K84" s="534">
        <v>8</v>
      </c>
      <c r="L84" s="534">
        <v>13</v>
      </c>
      <c r="M84" s="534">
        <v>0</v>
      </c>
      <c r="N84" s="539">
        <v>1</v>
      </c>
      <c r="O84" s="539">
        <v>0</v>
      </c>
      <c r="P84" s="539">
        <v>2</v>
      </c>
      <c r="Q84" s="403">
        <v>189.32</v>
      </c>
      <c r="R84" s="395" t="s">
        <v>135</v>
      </c>
      <c r="S84" s="396">
        <f t="shared" si="18"/>
        <v>189.32</v>
      </c>
      <c r="T84" s="539"/>
      <c r="U84" s="539"/>
      <c r="V84" s="539"/>
      <c r="W84" s="537"/>
      <c r="X84" s="536"/>
      <c r="Y84" s="537"/>
      <c r="Z84" s="534"/>
      <c r="AA84" s="534"/>
      <c r="AB84" s="534"/>
      <c r="AC84" s="534"/>
      <c r="AD84" s="534">
        <f t="shared" si="20"/>
        <v>4.2281466666666678E-5</v>
      </c>
      <c r="AE84" s="534"/>
      <c r="AF84" s="538"/>
      <c r="AG84" s="541"/>
    </row>
    <row r="85" spans="2:33" x14ac:dyDescent="0.25">
      <c r="B85" s="542" t="s">
        <v>101</v>
      </c>
      <c r="C85" s="405"/>
      <c r="D85" s="529"/>
      <c r="E85" s="405">
        <v>1</v>
      </c>
      <c r="F85" s="404">
        <f>F102</f>
        <v>46.7502</v>
      </c>
      <c r="G85" s="405" t="s">
        <v>134</v>
      </c>
      <c r="H85" s="405" t="s">
        <v>70</v>
      </c>
      <c r="I85" s="405" t="s">
        <v>245</v>
      </c>
      <c r="J85" s="405" t="s">
        <v>246</v>
      </c>
      <c r="K85" s="405">
        <v>10</v>
      </c>
      <c r="L85" s="405">
        <v>12</v>
      </c>
      <c r="M85" s="405">
        <v>5</v>
      </c>
      <c r="N85" s="405">
        <v>13</v>
      </c>
      <c r="O85" s="405">
        <v>3</v>
      </c>
      <c r="P85" s="543">
        <v>0</v>
      </c>
      <c r="Q85" s="543">
        <f t="shared" si="21"/>
        <v>503.15</v>
      </c>
      <c r="R85" s="117"/>
      <c r="S85" s="543"/>
      <c r="T85" s="543"/>
      <c r="U85" s="543"/>
      <c r="V85" s="543"/>
      <c r="W85" s="531"/>
      <c r="X85" s="529"/>
      <c r="Y85" s="531"/>
      <c r="Z85" s="405"/>
      <c r="AA85" s="405"/>
      <c r="AB85" s="405"/>
      <c r="AC85" s="405"/>
      <c r="AD85" s="405">
        <f>(F85*Q85)/1000</f>
        <v>23.522363129999999</v>
      </c>
      <c r="AE85" s="405"/>
      <c r="AF85" s="544"/>
    </row>
    <row r="86" spans="2:33" x14ac:dyDescent="0.25">
      <c r="B86" s="542" t="s">
        <v>101</v>
      </c>
      <c r="C86" s="405"/>
      <c r="D86" s="529"/>
      <c r="E86" s="405">
        <v>1</v>
      </c>
      <c r="F86" s="404">
        <f>F102</f>
        <v>46.7502</v>
      </c>
      <c r="G86" s="405" t="s">
        <v>247</v>
      </c>
      <c r="H86" s="405" t="s">
        <v>70</v>
      </c>
      <c r="I86" s="405" t="s">
        <v>245</v>
      </c>
      <c r="J86" s="405" t="s">
        <v>248</v>
      </c>
      <c r="K86" s="405">
        <v>0</v>
      </c>
      <c r="L86" s="405">
        <v>2</v>
      </c>
      <c r="M86" s="405">
        <v>0</v>
      </c>
      <c r="N86" s="543">
        <v>1</v>
      </c>
      <c r="O86" s="543">
        <v>0</v>
      </c>
      <c r="P86" s="543">
        <v>0</v>
      </c>
      <c r="Q86" s="543">
        <f t="shared" si="21"/>
        <v>18.015000000000001</v>
      </c>
      <c r="R86" s="117"/>
      <c r="S86" s="543"/>
      <c r="T86" s="543"/>
      <c r="U86" s="543"/>
      <c r="V86" s="543"/>
      <c r="W86" s="531"/>
      <c r="X86" s="529"/>
      <c r="Y86" s="531"/>
      <c r="Z86" s="405"/>
      <c r="AA86" s="405"/>
      <c r="AB86" s="405"/>
      <c r="AC86" s="405"/>
      <c r="AD86" s="405">
        <f>(F86*Q86)/1000</f>
        <v>0.84220485300000003</v>
      </c>
      <c r="AE86" s="405"/>
      <c r="AF86" s="544"/>
    </row>
    <row r="87" spans="2:33" x14ac:dyDescent="0.25">
      <c r="B87" s="135" t="s">
        <v>249</v>
      </c>
      <c r="C87" s="512"/>
      <c r="D87" s="545"/>
      <c r="E87" s="512"/>
      <c r="F87" s="513">
        <f>F85+F31</f>
        <v>46.918883474185442</v>
      </c>
      <c r="G87" s="512" t="s">
        <v>134</v>
      </c>
      <c r="H87" s="512" t="s">
        <v>250</v>
      </c>
      <c r="I87" s="512"/>
      <c r="J87" s="512"/>
      <c r="K87" s="512"/>
      <c r="L87" s="512"/>
      <c r="M87" s="512"/>
      <c r="N87" s="514"/>
      <c r="O87" s="514"/>
      <c r="P87" s="514"/>
      <c r="Q87" s="514"/>
      <c r="R87" s="139"/>
      <c r="S87" s="514"/>
      <c r="T87" s="514"/>
      <c r="U87" s="514"/>
      <c r="V87" s="514"/>
      <c r="W87" s="546"/>
      <c r="X87" s="545"/>
      <c r="Y87" s="546"/>
      <c r="Z87" s="512"/>
      <c r="AA87" s="512"/>
      <c r="AB87" s="512"/>
      <c r="AC87" s="512"/>
      <c r="AD87" s="512"/>
      <c r="AE87" s="512"/>
      <c r="AF87" s="547"/>
    </row>
    <row r="88" spans="2:33" x14ac:dyDescent="0.25">
      <c r="B88" s="135" t="s">
        <v>251</v>
      </c>
      <c r="C88" s="512"/>
      <c r="D88" s="545"/>
      <c r="E88" s="512"/>
      <c r="F88" s="513">
        <f>F86-F96</f>
        <v>41.397362576737855</v>
      </c>
      <c r="G88" s="512" t="s">
        <v>247</v>
      </c>
      <c r="H88" s="512" t="s">
        <v>250</v>
      </c>
      <c r="I88" s="512"/>
      <c r="J88" s="512"/>
      <c r="K88" s="512"/>
      <c r="L88" s="512"/>
      <c r="M88" s="512"/>
      <c r="N88" s="514"/>
      <c r="O88" s="514"/>
      <c r="P88" s="514"/>
      <c r="Q88" s="514"/>
      <c r="R88" s="139"/>
      <c r="S88" s="514"/>
      <c r="T88" s="514"/>
      <c r="U88" s="514"/>
      <c r="V88" s="514"/>
      <c r="W88" s="546"/>
      <c r="X88" s="545"/>
      <c r="Y88" s="546"/>
      <c r="Z88" s="512"/>
      <c r="AA88" s="512"/>
      <c r="AB88" s="512"/>
      <c r="AC88" s="512"/>
      <c r="AD88" s="512"/>
      <c r="AE88" s="512"/>
      <c r="AF88" s="547"/>
    </row>
    <row r="89" spans="2:33" s="20" customFormat="1" x14ac:dyDescent="0.25">
      <c r="B89" s="548"/>
      <c r="F89" s="549"/>
      <c r="N89" s="550"/>
      <c r="O89" s="550"/>
      <c r="P89" s="550"/>
      <c r="Q89" s="550"/>
      <c r="R89" s="157"/>
      <c r="S89" s="550"/>
      <c r="T89" s="550"/>
      <c r="U89" s="550"/>
      <c r="V89" s="550"/>
      <c r="W89" s="551"/>
      <c r="X89" s="552"/>
      <c r="Y89" s="551"/>
      <c r="AF89" s="553"/>
    </row>
    <row r="90" spans="2:33" x14ac:dyDescent="0.25">
      <c r="B90" s="554" t="s">
        <v>252</v>
      </c>
      <c r="C90" s="20"/>
      <c r="D90" s="20"/>
      <c r="E90" s="20"/>
      <c r="F90" s="549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13"/>
      <c r="S90" s="20"/>
      <c r="T90" s="20"/>
      <c r="U90" s="20"/>
      <c r="V90" s="20"/>
      <c r="W90" s="551"/>
      <c r="X90" s="552"/>
      <c r="Y90" s="20"/>
      <c r="Z90" s="20"/>
      <c r="AA90" s="20"/>
      <c r="AB90" s="20"/>
      <c r="AC90" s="20"/>
      <c r="AD90" s="20"/>
      <c r="AE90" s="20"/>
      <c r="AF90" s="553"/>
    </row>
    <row r="91" spans="2:33" x14ac:dyDescent="0.25">
      <c r="B91" s="542" t="s">
        <v>101</v>
      </c>
      <c r="C91" s="405"/>
      <c r="D91" s="405"/>
      <c r="E91" s="405">
        <v>1</v>
      </c>
      <c r="F91" s="404">
        <f>F102</f>
        <v>46.7502</v>
      </c>
      <c r="G91" s="405" t="s">
        <v>253</v>
      </c>
      <c r="H91" s="405" t="s">
        <v>70</v>
      </c>
      <c r="I91" s="405" t="s">
        <v>245</v>
      </c>
      <c r="J91" s="405" t="s">
        <v>254</v>
      </c>
      <c r="K91" s="405">
        <v>10</v>
      </c>
      <c r="L91" s="405">
        <v>12</v>
      </c>
      <c r="M91" s="405">
        <v>5</v>
      </c>
      <c r="N91" s="405">
        <v>10</v>
      </c>
      <c r="O91" s="405">
        <v>2</v>
      </c>
      <c r="P91" s="405">
        <v>0</v>
      </c>
      <c r="Q91" s="405">
        <f t="shared" ref="Q91:Q96" si="22">(K91*12.011)+(L91*1.008)+(N91*15.999)+(14.007*M91)+(O91*30.974)+(P91*32.066)</f>
        <v>424.17899999999997</v>
      </c>
      <c r="R91" s="145"/>
      <c r="S91" s="405"/>
      <c r="T91" s="405"/>
      <c r="U91" s="405"/>
      <c r="V91" s="405"/>
      <c r="W91" s="531"/>
      <c r="X91" s="529"/>
      <c r="Y91" s="531"/>
      <c r="Z91" s="405"/>
      <c r="AA91" s="405"/>
      <c r="AB91" s="405"/>
      <c r="AC91" s="405"/>
      <c r="AD91" s="405">
        <f t="shared" ref="AD91:AD96" si="23">(F91*Q91)/1000</f>
        <v>19.830453085799999</v>
      </c>
      <c r="AE91" s="405"/>
      <c r="AF91" s="544"/>
    </row>
    <row r="92" spans="2:33" x14ac:dyDescent="0.25">
      <c r="B92" s="542" t="s">
        <v>101</v>
      </c>
      <c r="C92" s="405"/>
      <c r="D92" s="405"/>
      <c r="E92" s="405">
        <v>1</v>
      </c>
      <c r="F92" s="404">
        <f>F102</f>
        <v>46.7502</v>
      </c>
      <c r="G92" s="405" t="s">
        <v>255</v>
      </c>
      <c r="H92" s="405" t="s">
        <v>70</v>
      </c>
      <c r="I92" s="405" t="s">
        <v>245</v>
      </c>
      <c r="J92" s="405" t="s">
        <v>49</v>
      </c>
      <c r="K92" s="405">
        <v>0</v>
      </c>
      <c r="L92" s="405">
        <v>1</v>
      </c>
      <c r="M92" s="405">
        <v>0</v>
      </c>
      <c r="N92" s="405">
        <v>0</v>
      </c>
      <c r="O92" s="405">
        <v>0</v>
      </c>
      <c r="P92" s="405">
        <v>0</v>
      </c>
      <c r="Q92" s="405">
        <f t="shared" si="22"/>
        <v>1.008</v>
      </c>
      <c r="R92" s="145"/>
      <c r="S92" s="405"/>
      <c r="T92" s="405"/>
      <c r="U92" s="405"/>
      <c r="V92" s="405"/>
      <c r="W92" s="531"/>
      <c r="X92" s="529"/>
      <c r="Y92" s="531"/>
      <c r="Z92" s="405"/>
      <c r="AA92" s="405"/>
      <c r="AB92" s="405"/>
      <c r="AC92" s="405"/>
      <c r="AD92" s="405">
        <f t="shared" si="23"/>
        <v>4.7124201599999999E-2</v>
      </c>
      <c r="AE92" s="405"/>
      <c r="AF92" s="544"/>
    </row>
    <row r="93" spans="2:33" x14ac:dyDescent="0.25">
      <c r="B93" s="542" t="s">
        <v>101</v>
      </c>
      <c r="C93" s="405"/>
      <c r="D93" s="405"/>
      <c r="E93" s="405">
        <v>1</v>
      </c>
      <c r="F93" s="404">
        <f>F102</f>
        <v>46.7502</v>
      </c>
      <c r="G93" s="405" t="s">
        <v>187</v>
      </c>
      <c r="H93" s="405" t="s">
        <v>70</v>
      </c>
      <c r="I93" s="405" t="s">
        <v>245</v>
      </c>
      <c r="J93" s="405" t="s">
        <v>188</v>
      </c>
      <c r="K93" s="405">
        <v>0</v>
      </c>
      <c r="L93" s="405">
        <v>1</v>
      </c>
      <c r="M93" s="405">
        <v>0</v>
      </c>
      <c r="N93" s="405">
        <v>4</v>
      </c>
      <c r="O93" s="405">
        <v>1</v>
      </c>
      <c r="P93" s="405">
        <v>0</v>
      </c>
      <c r="Q93" s="405">
        <f t="shared" si="22"/>
        <v>95.978000000000009</v>
      </c>
      <c r="R93" s="145"/>
      <c r="S93" s="405"/>
      <c r="T93" s="405"/>
      <c r="U93" s="405"/>
      <c r="V93" s="405"/>
      <c r="W93" s="531"/>
      <c r="X93" s="529"/>
      <c r="Y93" s="531"/>
      <c r="Z93" s="405"/>
      <c r="AA93" s="405"/>
      <c r="AB93" s="405"/>
      <c r="AC93" s="405"/>
      <c r="AD93" s="405">
        <f t="shared" si="23"/>
        <v>4.4869906956000003</v>
      </c>
      <c r="AE93" s="405"/>
      <c r="AF93" s="544"/>
    </row>
    <row r="94" spans="2:33" x14ac:dyDescent="0.25">
      <c r="B94" s="87" t="s">
        <v>256</v>
      </c>
      <c r="C94" s="484"/>
      <c r="D94" s="484"/>
      <c r="E94" s="484"/>
      <c r="F94" s="487">
        <f>Z27</f>
        <v>5.6293617468313316E-2</v>
      </c>
      <c r="G94" s="484" t="s">
        <v>257</v>
      </c>
      <c r="H94" s="484" t="s">
        <v>70</v>
      </c>
      <c r="I94" s="484" t="s">
        <v>256</v>
      </c>
      <c r="J94" s="484" t="s">
        <v>258</v>
      </c>
      <c r="K94" s="484">
        <v>0</v>
      </c>
      <c r="L94" s="484">
        <v>1</v>
      </c>
      <c r="M94" s="484">
        <v>0</v>
      </c>
      <c r="N94" s="484">
        <v>7</v>
      </c>
      <c r="O94" s="484">
        <v>2</v>
      </c>
      <c r="P94" s="484">
        <v>0</v>
      </c>
      <c r="Q94" s="484">
        <f t="shared" si="22"/>
        <v>174.94900000000001</v>
      </c>
      <c r="R94" s="163"/>
      <c r="S94" s="484"/>
      <c r="T94" s="484"/>
      <c r="U94" s="484"/>
      <c r="V94" s="484"/>
      <c r="W94" s="486"/>
      <c r="X94" s="482"/>
      <c r="Y94" s="486"/>
      <c r="Z94" s="484"/>
      <c r="AA94" s="484"/>
      <c r="AB94" s="484"/>
      <c r="AC94" s="484"/>
      <c r="AD94" s="484">
        <f t="shared" si="23"/>
        <v>9.8485120824639456E-3</v>
      </c>
      <c r="AE94" s="484"/>
      <c r="AF94" s="555"/>
    </row>
    <row r="95" spans="2:33" x14ac:dyDescent="0.25">
      <c r="B95" s="101" t="s">
        <v>259</v>
      </c>
      <c r="C95" s="495"/>
      <c r="D95" s="495"/>
      <c r="E95" s="495"/>
      <c r="F95" s="498">
        <f>Z31</f>
        <v>0.6823872356919054</v>
      </c>
      <c r="G95" s="495" t="s">
        <v>257</v>
      </c>
      <c r="H95" s="495" t="s">
        <v>70</v>
      </c>
      <c r="I95" s="495" t="s">
        <v>259</v>
      </c>
      <c r="J95" s="495" t="s">
        <v>258</v>
      </c>
      <c r="K95" s="495">
        <v>0</v>
      </c>
      <c r="L95" s="495">
        <v>1</v>
      </c>
      <c r="M95" s="495">
        <v>0</v>
      </c>
      <c r="N95" s="495">
        <v>7</v>
      </c>
      <c r="O95" s="495">
        <v>2</v>
      </c>
      <c r="P95" s="495">
        <v>0</v>
      </c>
      <c r="Q95" s="495">
        <f>(K95*12.011)+(L95*1.008)+(N95*15.999)+(14.007*M95)+(O95*30.974)+(P95*32.066)</f>
        <v>174.94900000000001</v>
      </c>
      <c r="R95" s="166"/>
      <c r="S95" s="495"/>
      <c r="T95" s="495"/>
      <c r="U95" s="495"/>
      <c r="V95" s="495"/>
      <c r="W95" s="497"/>
      <c r="X95" s="493"/>
      <c r="Y95" s="497"/>
      <c r="Z95" s="495"/>
      <c r="AA95" s="495"/>
      <c r="AB95" s="495"/>
      <c r="AC95" s="495"/>
      <c r="AD95" s="495">
        <f t="shared" si="23"/>
        <v>0.11938296449706318</v>
      </c>
      <c r="AE95" s="495"/>
      <c r="AF95" s="556"/>
    </row>
    <row r="96" spans="2:33" x14ac:dyDescent="0.25">
      <c r="B96" s="463" t="s">
        <v>260</v>
      </c>
      <c r="C96" s="469"/>
      <c r="D96" s="469"/>
      <c r="E96" s="469"/>
      <c r="F96" s="557">
        <f>SUM(X4:X23)</f>
        <v>5.3528374232621445</v>
      </c>
      <c r="G96" s="469" t="s">
        <v>247</v>
      </c>
      <c r="H96" s="469" t="s">
        <v>70</v>
      </c>
      <c r="I96" s="469" t="s">
        <v>260</v>
      </c>
      <c r="J96" s="469" t="s">
        <v>248</v>
      </c>
      <c r="K96" s="469">
        <v>0</v>
      </c>
      <c r="L96" s="469">
        <v>2</v>
      </c>
      <c r="M96" s="469">
        <v>0</v>
      </c>
      <c r="N96" s="558">
        <v>1</v>
      </c>
      <c r="O96" s="558">
        <v>0</v>
      </c>
      <c r="P96" s="558">
        <v>0</v>
      </c>
      <c r="Q96" s="558">
        <f t="shared" si="22"/>
        <v>18.015000000000001</v>
      </c>
      <c r="R96" s="170"/>
      <c r="S96" s="558"/>
      <c r="T96" s="558"/>
      <c r="U96" s="558"/>
      <c r="V96" s="558"/>
      <c r="W96" s="468"/>
      <c r="X96" s="466"/>
      <c r="Y96" s="468"/>
      <c r="Z96" s="469"/>
      <c r="AA96" s="469"/>
      <c r="AB96" s="469"/>
      <c r="AC96" s="469"/>
      <c r="AD96" s="469">
        <f t="shared" si="23"/>
        <v>9.6431366180067549E-2</v>
      </c>
      <c r="AE96" s="469"/>
      <c r="AF96" s="470"/>
    </row>
    <row r="97" spans="2:32" x14ac:dyDescent="0.25">
      <c r="B97" s="135" t="s">
        <v>261</v>
      </c>
      <c r="C97" s="512"/>
      <c r="D97" s="512"/>
      <c r="E97" s="512"/>
      <c r="F97" s="513">
        <f>F95+F94</f>
        <v>0.7386808531602187</v>
      </c>
      <c r="G97" s="512" t="s">
        <v>257</v>
      </c>
      <c r="H97" s="512" t="s">
        <v>70</v>
      </c>
      <c r="I97" s="512" t="s">
        <v>262</v>
      </c>
      <c r="J97" s="512" t="s">
        <v>188</v>
      </c>
      <c r="K97" s="512">
        <v>0</v>
      </c>
      <c r="L97" s="512">
        <v>1</v>
      </c>
      <c r="M97" s="512">
        <v>0</v>
      </c>
      <c r="N97" s="512">
        <v>4</v>
      </c>
      <c r="O97" s="512">
        <v>1</v>
      </c>
      <c r="P97" s="512">
        <v>0</v>
      </c>
      <c r="Q97" s="512">
        <f>(K97*12.011)+(L97*1.008)+(N97*15.999)+(14.007*M97)+(O97*30.974)+(P97*32.066)</f>
        <v>95.978000000000009</v>
      </c>
      <c r="R97" s="171"/>
      <c r="S97" s="512"/>
      <c r="T97" s="512"/>
      <c r="U97" s="512"/>
      <c r="V97" s="512"/>
      <c r="W97" s="546"/>
      <c r="X97" s="545"/>
      <c r="Y97" s="546"/>
      <c r="Z97" s="512"/>
      <c r="AA97" s="512"/>
      <c r="AB97" s="512"/>
      <c r="AC97" s="512"/>
      <c r="AD97" s="512"/>
      <c r="AE97" s="512"/>
      <c r="AF97" s="547"/>
    </row>
    <row r="98" spans="2:32" ht="15.75" thickBot="1" x14ac:dyDescent="0.3">
      <c r="B98" s="559" t="s">
        <v>263</v>
      </c>
      <c r="C98" s="560"/>
      <c r="D98" s="560"/>
      <c r="E98" s="560"/>
      <c r="F98" s="561">
        <f>F93-F58</f>
        <v>46.746677559170557</v>
      </c>
      <c r="G98" s="560" t="s">
        <v>187</v>
      </c>
      <c r="H98" s="560" t="s">
        <v>70</v>
      </c>
      <c r="I98" s="560" t="s">
        <v>161</v>
      </c>
      <c r="J98" s="560" t="s">
        <v>188</v>
      </c>
      <c r="K98" s="560">
        <v>0</v>
      </c>
      <c r="L98" s="560">
        <v>1</v>
      </c>
      <c r="M98" s="560">
        <v>0</v>
      </c>
      <c r="N98" s="560">
        <v>4</v>
      </c>
      <c r="O98" s="560">
        <v>1</v>
      </c>
      <c r="P98" s="560">
        <v>0</v>
      </c>
      <c r="Q98" s="560">
        <v>95.978000000000009</v>
      </c>
      <c r="R98" s="175"/>
      <c r="S98" s="560"/>
      <c r="T98" s="560"/>
      <c r="U98" s="560"/>
      <c r="V98" s="560"/>
      <c r="W98" s="562"/>
      <c r="X98" s="563"/>
      <c r="Y98" s="562"/>
      <c r="Z98" s="560"/>
      <c r="AA98" s="560"/>
      <c r="AB98" s="560"/>
      <c r="AC98" s="560"/>
      <c r="AD98" s="560"/>
      <c r="AE98" s="560"/>
      <c r="AF98" s="564"/>
    </row>
    <row r="99" spans="2:32" x14ac:dyDescent="0.25">
      <c r="AF99" s="565">
        <f>SUM(J103)</f>
        <v>0</v>
      </c>
    </row>
    <row r="100" spans="2:32" ht="15.75" thickBot="1" x14ac:dyDescent="0.3">
      <c r="G100" s="279"/>
    </row>
    <row r="101" spans="2:32" x14ac:dyDescent="0.25">
      <c r="E101" s="566" t="s">
        <v>264</v>
      </c>
      <c r="F101" s="567"/>
      <c r="H101" s="14" t="s">
        <v>471</v>
      </c>
      <c r="I101" s="14">
        <v>0.92</v>
      </c>
      <c r="K101" s="14" t="s">
        <v>472</v>
      </c>
    </row>
    <row r="102" spans="2:32" x14ac:dyDescent="0.25">
      <c r="E102" s="181" t="s">
        <v>265</v>
      </c>
      <c r="F102" s="568">
        <v>46.7502</v>
      </c>
      <c r="G102" s="279"/>
      <c r="H102" s="279"/>
      <c r="I102" s="279"/>
      <c r="AF102" s="565"/>
    </row>
    <row r="103" spans="2:32" x14ac:dyDescent="0.25">
      <c r="E103" s="184" t="s">
        <v>266</v>
      </c>
      <c r="F103" s="568" t="e">
        <f>#REF!</f>
        <v>#REF!</v>
      </c>
      <c r="G103" s="279"/>
      <c r="H103" s="279"/>
      <c r="I103" s="279"/>
    </row>
    <row r="104" spans="2:32" ht="15.75" thickBot="1" x14ac:dyDescent="0.3">
      <c r="E104" s="185" t="s">
        <v>267</v>
      </c>
      <c r="F104" s="569" t="e">
        <f>F102-F103</f>
        <v>#REF!</v>
      </c>
      <c r="G104" s="477"/>
      <c r="H104" s="279"/>
      <c r="I104" s="279"/>
    </row>
    <row r="105" spans="2:32" x14ac:dyDescent="0.25">
      <c r="G105" s="279"/>
    </row>
    <row r="106" spans="2:32" x14ac:dyDescent="0.25">
      <c r="B106" s="422" t="s">
        <v>268</v>
      </c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</row>
    <row r="107" spans="2:32" x14ac:dyDescent="0.25">
      <c r="B107" s="570" t="s">
        <v>269</v>
      </c>
      <c r="C107" s="570" t="s">
        <v>270</v>
      </c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  <c r="U107" s="279"/>
      <c r="V107" s="279"/>
      <c r="W107" s="279"/>
      <c r="X107" s="279"/>
      <c r="Y107" s="279"/>
      <c r="Z107" s="279"/>
      <c r="AA107" s="279"/>
      <c r="AB107" s="279"/>
      <c r="AC107" s="279"/>
      <c r="AD107" s="279"/>
      <c r="AE107" s="279"/>
      <c r="AF107" s="279"/>
    </row>
    <row r="108" spans="2:32" x14ac:dyDescent="0.25">
      <c r="B108" s="14" t="s">
        <v>271</v>
      </c>
      <c r="C108" s="571" t="s">
        <v>272</v>
      </c>
      <c r="G108" s="279"/>
      <c r="H108" s="279"/>
      <c r="I108" s="279"/>
      <c r="J108" s="279"/>
      <c r="K108" s="279"/>
      <c r="L108" s="279"/>
      <c r="M108" s="279"/>
      <c r="N108" s="279"/>
      <c r="O108" s="279"/>
      <c r="P108" s="279"/>
      <c r="Q108" s="279"/>
      <c r="R108" s="279"/>
      <c r="S108" s="279"/>
      <c r="T108" s="279"/>
      <c r="U108" s="279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79"/>
    </row>
    <row r="112" spans="2:32" x14ac:dyDescent="0.25">
      <c r="B112" s="14" t="s">
        <v>271</v>
      </c>
      <c r="C112" s="571" t="s">
        <v>273</v>
      </c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  <c r="S112" s="279"/>
      <c r="T112" s="279"/>
      <c r="U112" s="279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79"/>
    </row>
    <row r="113" spans="2:32" x14ac:dyDescent="0.25"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79"/>
      <c r="AB113" s="279"/>
      <c r="AC113" s="279"/>
      <c r="AD113" s="279"/>
      <c r="AE113" s="279"/>
      <c r="AF113" s="279"/>
    </row>
    <row r="114" spans="2:32" x14ac:dyDescent="0.25">
      <c r="C114" s="571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79"/>
      <c r="AB114" s="279"/>
      <c r="AC114" s="279"/>
      <c r="AD114" s="279"/>
      <c r="AE114" s="279"/>
      <c r="AF114" s="279"/>
    </row>
    <row r="118" spans="2:32" x14ac:dyDescent="0.25">
      <c r="I118" s="14">
        <v>46.9188834741854</v>
      </c>
      <c r="J118" s="14" t="s">
        <v>134</v>
      </c>
    </row>
    <row r="119" spans="2:32" x14ac:dyDescent="0.25">
      <c r="I119" s="14">
        <v>41.397362576737898</v>
      </c>
      <c r="J119" s="14" t="s">
        <v>247</v>
      </c>
    </row>
    <row r="122" spans="2:32" x14ac:dyDescent="0.25">
      <c r="H122" s="14">
        <v>1</v>
      </c>
      <c r="I122" s="14">
        <v>46.7502</v>
      </c>
      <c r="J122" s="14" t="s">
        <v>253</v>
      </c>
    </row>
    <row r="123" spans="2:32" x14ac:dyDescent="0.25">
      <c r="H123" s="14">
        <v>1</v>
      </c>
      <c r="I123" s="14">
        <v>46.7502</v>
      </c>
      <c r="J123" s="14" t="s">
        <v>255</v>
      </c>
    </row>
    <row r="124" spans="2:32" x14ac:dyDescent="0.25">
      <c r="H124" s="14">
        <v>1</v>
      </c>
      <c r="I124" s="14">
        <v>46.7502</v>
      </c>
      <c r="J124" s="14" t="s">
        <v>187</v>
      </c>
    </row>
    <row r="125" spans="2:32" x14ac:dyDescent="0.25">
      <c r="I125" s="14">
        <v>5.6293617468313316E-2</v>
      </c>
      <c r="J125" s="14" t="s">
        <v>257</v>
      </c>
    </row>
    <row r="126" spans="2:32" x14ac:dyDescent="0.25">
      <c r="I126" s="14">
        <v>0.6823872356919054</v>
      </c>
      <c r="J126" s="14" t="s">
        <v>257</v>
      </c>
    </row>
    <row r="127" spans="2:32" x14ac:dyDescent="0.25">
      <c r="B127" s="279"/>
      <c r="C127" s="279"/>
      <c r="D127" s="279"/>
      <c r="E127" s="279"/>
      <c r="F127" s="279"/>
      <c r="G127" s="279"/>
      <c r="H127" s="279"/>
      <c r="I127" s="14">
        <v>5.3528374232621445</v>
      </c>
      <c r="J127" s="14" t="s">
        <v>247</v>
      </c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</row>
    <row r="128" spans="2:32" x14ac:dyDescent="0.25">
      <c r="B128" s="279"/>
      <c r="C128" s="279"/>
      <c r="D128" s="279"/>
      <c r="E128" s="279"/>
      <c r="F128" s="279"/>
      <c r="G128" s="279"/>
      <c r="H128" s="279"/>
      <c r="I128" s="14">
        <v>0.73868085316021903</v>
      </c>
      <c r="J128" s="14" t="s">
        <v>257</v>
      </c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</row>
    <row r="129" spans="2:32" x14ac:dyDescent="0.25">
      <c r="B129" s="279"/>
      <c r="C129" s="279"/>
      <c r="D129" s="279"/>
      <c r="E129" s="279"/>
      <c r="F129" s="279"/>
      <c r="G129" s="279"/>
      <c r="H129" s="279"/>
      <c r="I129" s="14">
        <v>46.7466775591706</v>
      </c>
      <c r="J129" s="14" t="s">
        <v>187</v>
      </c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1" topLeftCell="A2" activePane="bottomLeft" state="frozen"/>
      <selection pane="bottomLeft" activeCell="L18" sqref="L18"/>
    </sheetView>
  </sheetViews>
  <sheetFormatPr baseColWidth="10" defaultColWidth="9.140625" defaultRowHeight="15" x14ac:dyDescent="0.25"/>
  <cols>
    <col min="1" max="1" width="3.42578125" customWidth="1"/>
    <col min="2" max="2" width="66.85546875" customWidth="1"/>
    <col min="3" max="3" width="29" customWidth="1"/>
    <col min="4" max="4" width="10.7109375" bestFit="1" customWidth="1"/>
    <col min="5" max="5" width="9.85546875" bestFit="1" customWidth="1"/>
    <col min="6" max="6" width="11.42578125" customWidth="1"/>
    <col min="7" max="7" width="17.42578125" customWidth="1"/>
    <col min="8" max="8" width="11" bestFit="1" customWidth="1"/>
    <col min="9" max="9" width="7.42578125" bestFit="1" customWidth="1"/>
    <col min="10" max="10" width="7.42578125" customWidth="1"/>
    <col min="12" max="12" width="23.7109375" customWidth="1"/>
  </cols>
  <sheetData>
    <row r="1" spans="1:14" ht="23.25" x14ac:dyDescent="0.35">
      <c r="A1" s="30"/>
      <c r="B1" s="614" t="s">
        <v>513</v>
      </c>
      <c r="C1" s="30"/>
      <c r="D1" s="30"/>
      <c r="E1" s="589"/>
      <c r="F1" s="589"/>
      <c r="G1" s="589"/>
      <c r="H1" s="589"/>
      <c r="I1" s="589"/>
      <c r="J1" s="589"/>
      <c r="L1" s="30"/>
      <c r="M1" s="30"/>
    </row>
    <row r="2" spans="1:14" ht="15.75" thickBot="1" x14ac:dyDescent="0.3">
      <c r="A2" s="30"/>
      <c r="B2" s="30"/>
      <c r="C2" s="30"/>
      <c r="D2" s="50"/>
      <c r="E2" s="589"/>
      <c r="F2" s="589"/>
      <c r="G2" s="589"/>
      <c r="H2" s="589"/>
      <c r="I2" s="589"/>
      <c r="J2" s="589"/>
      <c r="K2" s="50" t="s">
        <v>4</v>
      </c>
      <c r="L2" t="s">
        <v>275</v>
      </c>
    </row>
    <row r="3" spans="1:14" x14ac:dyDescent="0.25">
      <c r="A3" s="30"/>
      <c r="B3" s="590" t="s">
        <v>11</v>
      </c>
      <c r="C3" s="591" t="s">
        <v>276</v>
      </c>
      <c r="D3" s="591" t="s">
        <v>277</v>
      </c>
      <c r="E3" s="591" t="s">
        <v>278</v>
      </c>
      <c r="F3" s="591" t="s">
        <v>279</v>
      </c>
      <c r="G3" s="591" t="s">
        <v>280</v>
      </c>
      <c r="H3" s="591" t="s">
        <v>61</v>
      </c>
      <c r="I3" s="592" t="s">
        <v>60</v>
      </c>
      <c r="J3" s="593"/>
      <c r="K3" s="30" t="s">
        <v>66</v>
      </c>
      <c r="L3" t="s">
        <v>67</v>
      </c>
      <c r="N3" s="30"/>
    </row>
    <row r="4" spans="1:14" x14ac:dyDescent="0.25">
      <c r="A4" s="30"/>
      <c r="B4" s="594" t="s">
        <v>281</v>
      </c>
      <c r="C4" s="76"/>
      <c r="D4" s="76"/>
      <c r="E4" s="76"/>
      <c r="F4" s="233"/>
      <c r="G4" s="233"/>
      <c r="H4" s="595"/>
      <c r="I4" s="596"/>
      <c r="J4" s="597"/>
      <c r="K4" s="83" t="s">
        <v>274</v>
      </c>
      <c r="L4" s="29" t="s">
        <v>283</v>
      </c>
      <c r="M4" s="29"/>
      <c r="N4" s="30"/>
    </row>
    <row r="5" spans="1:14" s="30" customFormat="1" x14ac:dyDescent="0.25">
      <c r="B5" s="200" t="s">
        <v>284</v>
      </c>
      <c r="C5" s="201"/>
      <c r="D5" s="76"/>
      <c r="E5" s="76">
        <v>3</v>
      </c>
      <c r="F5" s="598" t="s">
        <v>190</v>
      </c>
      <c r="G5" s="233">
        <v>90.17</v>
      </c>
      <c r="H5" s="374">
        <f>(I5/G5)*1000</f>
        <v>3.3270489076189416E-2</v>
      </c>
      <c r="I5" s="371">
        <f>E5/1000</f>
        <v>3.0000000000000001E-3</v>
      </c>
      <c r="J5" s="384"/>
      <c r="K5" s="83" t="s">
        <v>282</v>
      </c>
      <c r="L5" s="29" t="s">
        <v>286</v>
      </c>
      <c r="M5" s="29"/>
      <c r="N5"/>
    </row>
    <row r="6" spans="1:14" x14ac:dyDescent="0.25">
      <c r="A6" s="30"/>
      <c r="B6" s="594" t="s">
        <v>287</v>
      </c>
      <c r="C6" s="76"/>
      <c r="D6" s="76"/>
      <c r="E6" s="76"/>
      <c r="F6" s="598"/>
      <c r="G6" s="76"/>
      <c r="H6" s="599"/>
      <c r="I6" s="371"/>
      <c r="J6" s="384"/>
      <c r="K6" s="83"/>
      <c r="L6" s="365"/>
      <c r="M6" s="365"/>
    </row>
    <row r="7" spans="1:14" x14ac:dyDescent="0.25">
      <c r="A7" s="30"/>
      <c r="B7" s="200" t="s">
        <v>288</v>
      </c>
      <c r="C7" s="76"/>
      <c r="D7" s="76">
        <v>0.125</v>
      </c>
      <c r="E7" s="76"/>
      <c r="F7" s="598" t="s">
        <v>193</v>
      </c>
      <c r="G7" s="233">
        <v>805.54500000000007</v>
      </c>
      <c r="H7" s="374">
        <f t="shared" ref="H7:H14" si="0">D7*$C$47</f>
        <v>2.7916666666666671E-4</v>
      </c>
      <c r="I7" s="371">
        <f t="shared" ref="I7:I40" si="1">G7*H7/1000</f>
        <v>2.2488131250000007E-4</v>
      </c>
      <c r="J7" s="384"/>
      <c r="K7" s="365"/>
      <c r="L7" s="365"/>
      <c r="M7" s="365"/>
    </row>
    <row r="8" spans="1:14" x14ac:dyDescent="0.25">
      <c r="A8" s="30"/>
      <c r="B8" s="200" t="s">
        <v>288</v>
      </c>
      <c r="C8" s="76"/>
      <c r="D8" s="76">
        <v>7.4999999999999997E-2</v>
      </c>
      <c r="E8" s="76"/>
      <c r="F8" s="598" t="s">
        <v>196</v>
      </c>
      <c r="G8" s="233">
        <v>763.50800000000004</v>
      </c>
      <c r="H8" s="374">
        <f t="shared" si="0"/>
        <v>1.6750000000000003E-4</v>
      </c>
      <c r="I8" s="371">
        <f t="shared" si="1"/>
        <v>1.2788759000000003E-4</v>
      </c>
      <c r="J8" s="30"/>
      <c r="K8" s="365"/>
    </row>
    <row r="9" spans="1:14" x14ac:dyDescent="0.25">
      <c r="A9" s="30"/>
      <c r="B9" s="200" t="s">
        <v>288</v>
      </c>
      <c r="C9" s="76"/>
      <c r="D9" s="76">
        <v>4.3999999999999997E-2</v>
      </c>
      <c r="E9" s="76"/>
      <c r="F9" s="598" t="s">
        <v>198</v>
      </c>
      <c r="G9" s="233">
        <v>862.57299999999998</v>
      </c>
      <c r="H9" s="374">
        <f t="shared" si="0"/>
        <v>9.8266666666666679E-5</v>
      </c>
      <c r="I9" s="371">
        <f t="shared" si="1"/>
        <v>8.4762173466666676E-5</v>
      </c>
      <c r="J9" s="30"/>
      <c r="K9" s="30"/>
    </row>
    <row r="10" spans="1:14" x14ac:dyDescent="0.25">
      <c r="A10" s="30"/>
      <c r="B10" s="200" t="s">
        <v>288</v>
      </c>
      <c r="C10" s="76"/>
      <c r="D10" s="76">
        <v>1.4E-2</v>
      </c>
      <c r="E10" s="76"/>
      <c r="F10" s="598" t="s">
        <v>200</v>
      </c>
      <c r="G10" s="233">
        <v>848.54600000000005</v>
      </c>
      <c r="H10" s="374">
        <f t="shared" si="0"/>
        <v>3.126666666666667E-5</v>
      </c>
      <c r="I10" s="371">
        <f t="shared" si="1"/>
        <v>2.6531204933333338E-5</v>
      </c>
      <c r="J10" s="30"/>
      <c r="K10" s="30"/>
    </row>
    <row r="11" spans="1:14" x14ac:dyDescent="0.25">
      <c r="A11" s="30"/>
      <c r="B11" s="200" t="s">
        <v>289</v>
      </c>
      <c r="C11" s="76"/>
      <c r="D11" s="76">
        <v>0.8</v>
      </c>
      <c r="E11" s="76"/>
      <c r="F11" s="598" t="s">
        <v>202</v>
      </c>
      <c r="G11" s="233">
        <v>662.42199999999991</v>
      </c>
      <c r="H11" s="374">
        <f t="shared" si="0"/>
        <v>1.7866666666666671E-3</v>
      </c>
      <c r="I11" s="371">
        <f t="shared" si="1"/>
        <v>1.1835273066666666E-3</v>
      </c>
      <c r="J11" s="30"/>
      <c r="K11" s="30"/>
    </row>
    <row r="12" spans="1:14" x14ac:dyDescent="0.25">
      <c r="A12" s="30"/>
      <c r="B12" s="200" t="s">
        <v>289</v>
      </c>
      <c r="C12" s="76"/>
      <c r="D12" s="76">
        <v>0.02</v>
      </c>
      <c r="E12" s="76"/>
      <c r="F12" s="598" t="s">
        <v>204</v>
      </c>
      <c r="G12" s="233">
        <v>663.43</v>
      </c>
      <c r="H12" s="374">
        <f t="shared" si="0"/>
        <v>4.4666666666666677E-5</v>
      </c>
      <c r="I12" s="371">
        <f t="shared" si="1"/>
        <v>2.9633206666666672E-5</v>
      </c>
      <c r="J12" s="30"/>
      <c r="K12" s="30"/>
    </row>
    <row r="13" spans="1:14" x14ac:dyDescent="0.25">
      <c r="A13" s="30"/>
      <c r="B13" s="200" t="s">
        <v>289</v>
      </c>
      <c r="C13" s="76"/>
      <c r="D13" s="76">
        <v>0.05</v>
      </c>
      <c r="E13" s="76"/>
      <c r="F13" s="598" t="s">
        <v>206</v>
      </c>
      <c r="G13" s="233">
        <v>740.38499999999999</v>
      </c>
      <c r="H13" s="374">
        <f t="shared" si="0"/>
        <v>1.1166666666666669E-4</v>
      </c>
      <c r="I13" s="373">
        <f t="shared" si="1"/>
        <v>8.2676325000000022E-5</v>
      </c>
      <c r="J13" s="3"/>
      <c r="K13" s="30"/>
    </row>
    <row r="14" spans="1:14" x14ac:dyDescent="0.25">
      <c r="A14" s="30"/>
      <c r="B14" s="200" t="s">
        <v>289</v>
      </c>
      <c r="C14" s="76"/>
      <c r="D14" s="76">
        <v>0.15</v>
      </c>
      <c r="E14" s="76"/>
      <c r="F14" s="598" t="s">
        <v>208</v>
      </c>
      <c r="G14" s="233">
        <v>741.39300000000003</v>
      </c>
      <c r="H14" s="374">
        <f t="shared" si="0"/>
        <v>3.3500000000000007E-4</v>
      </c>
      <c r="I14" s="373">
        <f t="shared" si="1"/>
        <v>2.4836665500000007E-4</v>
      </c>
      <c r="J14" s="3"/>
      <c r="K14" s="30"/>
    </row>
    <row r="15" spans="1:14" x14ac:dyDescent="0.25">
      <c r="A15" s="30"/>
      <c r="B15" s="200" t="s">
        <v>290</v>
      </c>
      <c r="C15" s="76">
        <v>10000</v>
      </c>
      <c r="D15" s="76"/>
      <c r="E15" s="76"/>
      <c r="F15" s="598" t="s">
        <v>235</v>
      </c>
      <c r="G15" s="233">
        <v>924.25799999999992</v>
      </c>
      <c r="H15" s="374">
        <f>((C15/C44)*1000)/C46</f>
        <v>5.535259603675412E-5</v>
      </c>
      <c r="I15" s="373">
        <f t="shared" si="1"/>
        <v>5.1160079707738285E-5</v>
      </c>
      <c r="J15" s="3"/>
      <c r="K15" s="30"/>
    </row>
    <row r="16" spans="1:14" x14ac:dyDescent="0.25">
      <c r="A16" s="30"/>
      <c r="B16" s="225"/>
      <c r="C16" s="76"/>
      <c r="D16" s="76">
        <v>0.1</v>
      </c>
      <c r="E16" s="76"/>
      <c r="F16" s="598" t="s">
        <v>237</v>
      </c>
      <c r="G16" s="233">
        <v>471.42999999999995</v>
      </c>
      <c r="H16" s="374">
        <f t="shared" ref="H16:H40" si="2">D16*$C$47</f>
        <v>2.2333333333333339E-4</v>
      </c>
      <c r="I16" s="371">
        <f t="shared" si="1"/>
        <v>1.0528603333333335E-4</v>
      </c>
      <c r="J16" s="3"/>
      <c r="K16" s="30"/>
    </row>
    <row r="17" spans="1:11" x14ac:dyDescent="0.25">
      <c r="A17" s="30"/>
      <c r="B17" s="225"/>
      <c r="C17" s="76"/>
      <c r="D17" s="76">
        <v>0.1</v>
      </c>
      <c r="E17" s="76"/>
      <c r="F17" s="598" t="s">
        <v>212</v>
      </c>
      <c r="G17" s="233">
        <v>443.41999999999996</v>
      </c>
      <c r="H17" s="374">
        <f t="shared" si="2"/>
        <v>2.2333333333333339E-4</v>
      </c>
      <c r="I17" s="371">
        <f t="shared" si="1"/>
        <v>9.9030466666666673E-5</v>
      </c>
      <c r="J17" s="3"/>
      <c r="K17" s="30"/>
    </row>
    <row r="18" spans="1:11" x14ac:dyDescent="0.25">
      <c r="A18" s="30"/>
      <c r="B18" s="225"/>
      <c r="C18" s="76"/>
      <c r="D18" s="76">
        <v>0.1</v>
      </c>
      <c r="E18" s="76"/>
      <c r="F18" s="76" t="s">
        <v>214</v>
      </c>
      <c r="G18" s="233">
        <v>455.43099999999993</v>
      </c>
      <c r="H18" s="374">
        <f t="shared" si="2"/>
        <v>2.2333333333333339E-4</v>
      </c>
      <c r="I18" s="371">
        <f t="shared" si="1"/>
        <v>1.0171292333333334E-4</v>
      </c>
      <c r="J18" s="3"/>
      <c r="K18" s="30"/>
    </row>
    <row r="19" spans="1:11" x14ac:dyDescent="0.25">
      <c r="A19" s="30"/>
      <c r="B19" s="225"/>
      <c r="C19" s="76"/>
      <c r="D19" s="76">
        <v>0.1</v>
      </c>
      <c r="E19" s="76"/>
      <c r="F19" s="76" t="s">
        <v>216</v>
      </c>
      <c r="G19" s="233">
        <v>458.45499999999993</v>
      </c>
      <c r="H19" s="374">
        <f t="shared" si="2"/>
        <v>2.2333333333333339E-4</v>
      </c>
      <c r="I19" s="371">
        <f t="shared" si="1"/>
        <v>1.0238828333333334E-4</v>
      </c>
      <c r="J19" s="3"/>
      <c r="K19" s="30"/>
    </row>
    <row r="20" spans="1:11" x14ac:dyDescent="0.25">
      <c r="A20" s="30"/>
      <c r="B20" s="225"/>
      <c r="C20" s="76"/>
      <c r="D20" s="76">
        <v>0.1</v>
      </c>
      <c r="E20" s="76"/>
      <c r="F20" s="598" t="s">
        <v>239</v>
      </c>
      <c r="G20" s="233">
        <v>224.16799999999998</v>
      </c>
      <c r="H20" s="374">
        <f t="shared" si="2"/>
        <v>2.2333333333333339E-4</v>
      </c>
      <c r="I20" s="371">
        <f t="shared" si="1"/>
        <v>5.0064186666666676E-5</v>
      </c>
      <c r="J20" s="3"/>
      <c r="K20" s="30"/>
    </row>
    <row r="21" spans="1:11" x14ac:dyDescent="0.25">
      <c r="A21" s="30"/>
      <c r="B21" s="600"/>
      <c r="C21" s="76"/>
      <c r="D21" s="76">
        <v>0.1</v>
      </c>
      <c r="E21" s="76"/>
      <c r="F21" s="598" t="s">
        <v>449</v>
      </c>
      <c r="G21" s="601">
        <v>751.72320000000002</v>
      </c>
      <c r="H21" s="374">
        <f t="shared" si="2"/>
        <v>2.2333333333333339E-4</v>
      </c>
      <c r="I21" s="371">
        <f t="shared" si="1"/>
        <v>1.6788484800000003E-4</v>
      </c>
      <c r="J21" s="3"/>
      <c r="K21" s="30"/>
    </row>
    <row r="22" spans="1:11" x14ac:dyDescent="0.25">
      <c r="A22" s="30"/>
      <c r="B22" s="225"/>
      <c r="C22" s="76"/>
      <c r="D22" s="76">
        <v>0.1</v>
      </c>
      <c r="E22" s="76"/>
      <c r="F22" s="598" t="s">
        <v>231</v>
      </c>
      <c r="G22" s="233">
        <v>306.31899999999996</v>
      </c>
      <c r="H22" s="374">
        <f t="shared" si="2"/>
        <v>2.2333333333333339E-4</v>
      </c>
      <c r="I22" s="371">
        <f t="shared" si="1"/>
        <v>6.8411243333333348E-5</v>
      </c>
      <c r="J22" s="3"/>
      <c r="K22" s="30"/>
    </row>
    <row r="23" spans="1:11" x14ac:dyDescent="0.25">
      <c r="A23" s="30"/>
      <c r="B23" s="225"/>
      <c r="C23" s="76"/>
      <c r="D23" s="76">
        <v>0.1</v>
      </c>
      <c r="E23" s="76"/>
      <c r="F23" s="598" t="s">
        <v>222</v>
      </c>
      <c r="G23" s="233">
        <v>245.12699999999998</v>
      </c>
      <c r="H23" s="374">
        <f t="shared" si="2"/>
        <v>2.2333333333333339E-4</v>
      </c>
      <c r="I23" s="371">
        <f t="shared" si="1"/>
        <v>5.4745030000000007E-5</v>
      </c>
      <c r="J23" s="3"/>
      <c r="K23" s="30"/>
    </row>
    <row r="24" spans="1:11" x14ac:dyDescent="0.25">
      <c r="A24" s="30"/>
      <c r="B24" s="225"/>
      <c r="C24" s="76"/>
      <c r="D24" s="76">
        <v>0.1</v>
      </c>
      <c r="E24" s="76"/>
      <c r="F24" s="598" t="s">
        <v>241</v>
      </c>
      <c r="G24" s="233">
        <v>399.452</v>
      </c>
      <c r="H24" s="374">
        <f t="shared" si="2"/>
        <v>2.2333333333333339E-4</v>
      </c>
      <c r="I24" s="371">
        <f t="shared" si="1"/>
        <v>8.9210946666666696E-5</v>
      </c>
      <c r="J24" s="3"/>
      <c r="K24" s="30"/>
    </row>
    <row r="25" spans="1:11" x14ac:dyDescent="0.25">
      <c r="A25" s="30"/>
      <c r="B25" s="225"/>
      <c r="C25" s="76"/>
      <c r="D25" s="76">
        <v>0.1</v>
      </c>
      <c r="E25" s="76"/>
      <c r="F25" s="598" t="s">
        <v>218</v>
      </c>
      <c r="G25" s="233">
        <v>422.29499999999996</v>
      </c>
      <c r="H25" s="374">
        <f t="shared" si="2"/>
        <v>2.2333333333333339E-4</v>
      </c>
      <c r="I25" s="371">
        <f t="shared" si="1"/>
        <v>9.4312550000000012E-5</v>
      </c>
      <c r="J25" s="3"/>
      <c r="K25" s="30"/>
    </row>
    <row r="26" spans="1:11" x14ac:dyDescent="0.25">
      <c r="A26" s="30"/>
      <c r="B26" s="225"/>
      <c r="C26" s="76"/>
      <c r="D26" s="76">
        <v>0.1</v>
      </c>
      <c r="E26" s="76"/>
      <c r="F26" s="598" t="s">
        <v>233</v>
      </c>
      <c r="G26" s="233">
        <v>1579.6081999999997</v>
      </c>
      <c r="H26" s="374">
        <f t="shared" si="2"/>
        <v>2.2333333333333339E-4</v>
      </c>
      <c r="I26" s="371">
        <f t="shared" si="1"/>
        <v>3.527791646666667E-4</v>
      </c>
      <c r="J26" s="3"/>
      <c r="K26" s="30"/>
    </row>
    <row r="27" spans="1:11" x14ac:dyDescent="0.25">
      <c r="A27" s="30"/>
      <c r="B27" s="225"/>
      <c r="C27" s="76"/>
      <c r="D27" s="76">
        <v>0.1</v>
      </c>
      <c r="E27" s="76"/>
      <c r="F27" s="598" t="s">
        <v>220</v>
      </c>
      <c r="G27" s="233">
        <v>729.14299999999992</v>
      </c>
      <c r="H27" s="374">
        <f t="shared" si="2"/>
        <v>2.2333333333333339E-4</v>
      </c>
      <c r="I27" s="371">
        <f t="shared" si="1"/>
        <v>1.628419366666667E-4</v>
      </c>
      <c r="J27" s="3"/>
      <c r="K27" s="30"/>
    </row>
    <row r="28" spans="1:11" x14ac:dyDescent="0.25">
      <c r="A28" s="30"/>
      <c r="B28" s="225"/>
      <c r="C28" s="76"/>
      <c r="D28" s="76">
        <v>0.1</v>
      </c>
      <c r="E28" s="76"/>
      <c r="F28" s="598" t="s">
        <v>224</v>
      </c>
      <c r="G28" s="233">
        <v>836.94489999999996</v>
      </c>
      <c r="H28" s="374">
        <f t="shared" si="2"/>
        <v>2.2333333333333339E-4</v>
      </c>
      <c r="I28" s="371">
        <f t="shared" si="1"/>
        <v>1.8691769433333335E-4</v>
      </c>
      <c r="J28" s="3"/>
      <c r="K28" s="30"/>
    </row>
    <row r="29" spans="1:11" x14ac:dyDescent="0.25">
      <c r="A29" s="30"/>
      <c r="B29" s="225"/>
      <c r="C29" s="76"/>
      <c r="D29" s="76">
        <v>0.1</v>
      </c>
      <c r="E29" s="76"/>
      <c r="F29" s="598" t="s">
        <v>226</v>
      </c>
      <c r="G29" s="233">
        <v>690.62689999999998</v>
      </c>
      <c r="H29" s="374">
        <f t="shared" si="2"/>
        <v>2.2333333333333339E-4</v>
      </c>
      <c r="I29" s="371">
        <f t="shared" si="1"/>
        <v>1.5424000766666671E-4</v>
      </c>
      <c r="J29" s="3"/>
      <c r="K29" s="30"/>
    </row>
    <row r="30" spans="1:11" x14ac:dyDescent="0.25">
      <c r="A30" s="30"/>
      <c r="B30" s="225"/>
      <c r="C30" s="76"/>
      <c r="D30" s="76">
        <v>0.1</v>
      </c>
      <c r="E30" s="76"/>
      <c r="F30" s="598" t="s">
        <v>228</v>
      </c>
      <c r="G30" s="233">
        <v>908.69690000000003</v>
      </c>
      <c r="H30" s="374">
        <f>D30*$C$47</f>
        <v>2.2333333333333339E-4</v>
      </c>
      <c r="I30" s="371">
        <f t="shared" si="1"/>
        <v>2.029423076666667E-4</v>
      </c>
      <c r="J30" s="3"/>
      <c r="K30" s="30"/>
    </row>
    <row r="31" spans="1:11" x14ac:dyDescent="0.25">
      <c r="A31" s="30"/>
      <c r="B31" s="225"/>
      <c r="C31" s="76"/>
      <c r="D31" s="76">
        <v>0.1</v>
      </c>
      <c r="E31" s="76"/>
      <c r="F31" s="598" t="s">
        <v>243</v>
      </c>
      <c r="G31" s="233">
        <v>376.36900000000003</v>
      </c>
      <c r="H31" s="374">
        <f t="shared" si="2"/>
        <v>2.2333333333333339E-4</v>
      </c>
      <c r="I31" s="371">
        <f t="shared" si="1"/>
        <v>8.4055743333333357E-5</v>
      </c>
      <c r="J31" s="3"/>
      <c r="K31" s="30"/>
    </row>
    <row r="32" spans="1:11" x14ac:dyDescent="0.25">
      <c r="A32" s="30"/>
      <c r="B32" s="225"/>
      <c r="C32" s="76"/>
      <c r="D32" s="76">
        <v>0.1</v>
      </c>
      <c r="E32" s="76"/>
      <c r="F32" s="598" t="s">
        <v>210</v>
      </c>
      <c r="G32" s="233">
        <v>783.54099999999994</v>
      </c>
      <c r="H32" s="374">
        <f t="shared" si="2"/>
        <v>2.2333333333333339E-4</v>
      </c>
      <c r="I32" s="371">
        <f t="shared" si="1"/>
        <v>1.7499082333333334E-4</v>
      </c>
      <c r="J32" s="3"/>
      <c r="K32" s="30"/>
    </row>
    <row r="33" spans="1:11" x14ac:dyDescent="0.25">
      <c r="A33" s="30"/>
      <c r="B33" s="600"/>
      <c r="C33" s="602"/>
      <c r="D33" s="76">
        <v>0.1</v>
      </c>
      <c r="E33" s="602"/>
      <c r="F33" s="368" t="s">
        <v>444</v>
      </c>
      <c r="G33" s="603">
        <v>175.82140000000001</v>
      </c>
      <c r="H33" s="374">
        <f t="shared" si="2"/>
        <v>2.2333333333333339E-4</v>
      </c>
      <c r="I33" s="371">
        <f t="shared" si="1"/>
        <v>3.9266779333333341E-5</v>
      </c>
      <c r="J33" s="3"/>
      <c r="K33" s="30"/>
    </row>
    <row r="34" spans="1:11" x14ac:dyDescent="0.25">
      <c r="A34" s="30"/>
      <c r="B34" s="600"/>
      <c r="C34" s="602"/>
      <c r="D34" s="76">
        <v>0.1</v>
      </c>
      <c r="E34" s="602"/>
      <c r="F34" s="368" t="s">
        <v>445</v>
      </c>
      <c r="G34" s="604">
        <v>351.64280000000002</v>
      </c>
      <c r="H34" s="374">
        <f t="shared" si="2"/>
        <v>2.2333333333333339E-4</v>
      </c>
      <c r="I34" s="371">
        <f t="shared" si="1"/>
        <v>7.8533558666666681E-5</v>
      </c>
      <c r="J34" s="3"/>
      <c r="K34" s="30"/>
    </row>
    <row r="35" spans="1:11" x14ac:dyDescent="0.25">
      <c r="A35" s="30"/>
      <c r="B35" s="605"/>
      <c r="C35" s="602"/>
      <c r="D35" s="76">
        <v>0.1</v>
      </c>
      <c r="E35" s="602"/>
      <c r="F35" s="368" t="s">
        <v>443</v>
      </c>
      <c r="G35" s="604">
        <v>864.46960000000001</v>
      </c>
      <c r="H35" s="374">
        <f t="shared" si="2"/>
        <v>2.2333333333333339E-4</v>
      </c>
      <c r="I35" s="371">
        <f t="shared" si="1"/>
        <v>1.9306487733333338E-4</v>
      </c>
      <c r="J35" s="3"/>
      <c r="K35" s="30"/>
    </row>
    <row r="36" spans="1:11" x14ac:dyDescent="0.25">
      <c r="A36" s="30"/>
      <c r="B36" s="605"/>
      <c r="C36" s="602"/>
      <c r="D36" s="76">
        <v>0.1</v>
      </c>
      <c r="E36" s="602"/>
      <c r="F36" s="368" t="s">
        <v>450</v>
      </c>
      <c r="G36" s="604">
        <v>572.51130000000001</v>
      </c>
      <c r="H36" s="374">
        <f t="shared" si="2"/>
        <v>2.2333333333333339E-4</v>
      </c>
      <c r="I36" s="371">
        <f t="shared" si="1"/>
        <v>1.2786085700000003E-4</v>
      </c>
      <c r="J36" s="3"/>
      <c r="K36" s="30"/>
    </row>
    <row r="37" spans="1:11" x14ac:dyDescent="0.25">
      <c r="A37" s="30"/>
      <c r="B37" s="605"/>
      <c r="C37" s="602"/>
      <c r="D37" s="76">
        <v>0.1</v>
      </c>
      <c r="E37" s="602"/>
      <c r="F37" s="368" t="s">
        <v>446</v>
      </c>
      <c r="G37" s="604">
        <v>189.32</v>
      </c>
      <c r="H37" s="374">
        <f t="shared" si="2"/>
        <v>2.2333333333333339E-4</v>
      </c>
      <c r="I37" s="371">
        <f t="shared" si="1"/>
        <v>4.2281466666666678E-5</v>
      </c>
      <c r="J37" s="3"/>
      <c r="K37" s="30"/>
    </row>
    <row r="38" spans="1:11" x14ac:dyDescent="0.25">
      <c r="A38" s="30"/>
      <c r="B38" s="605"/>
      <c r="C38" s="602"/>
      <c r="D38" s="76">
        <v>0.1</v>
      </c>
      <c r="E38" s="602"/>
      <c r="F38" s="368" t="s">
        <v>447</v>
      </c>
      <c r="G38" s="604">
        <v>329.1995</v>
      </c>
      <c r="H38" s="374">
        <f t="shared" si="2"/>
        <v>2.2333333333333339E-4</v>
      </c>
      <c r="I38" s="371">
        <f t="shared" si="1"/>
        <v>7.3521221666666674E-5</v>
      </c>
      <c r="J38" s="3"/>
      <c r="K38" s="30"/>
    </row>
    <row r="39" spans="1:11" x14ac:dyDescent="0.25">
      <c r="A39" s="30"/>
      <c r="B39" s="605"/>
      <c r="C39" s="602"/>
      <c r="D39" s="76">
        <v>0.1</v>
      </c>
      <c r="E39" s="602"/>
      <c r="F39" s="368" t="s">
        <v>448</v>
      </c>
      <c r="G39" s="604">
        <v>1584.9989</v>
      </c>
      <c r="H39" s="374">
        <f t="shared" si="2"/>
        <v>2.2333333333333339E-4</v>
      </c>
      <c r="I39" s="371">
        <f t="shared" si="1"/>
        <v>3.5398308766666677E-4</v>
      </c>
      <c r="J39" s="3"/>
      <c r="K39" s="30"/>
    </row>
    <row r="40" spans="1:11" x14ac:dyDescent="0.25">
      <c r="A40" s="30"/>
      <c r="B40" s="605"/>
      <c r="C40" s="602"/>
      <c r="D40" s="602">
        <v>0.1</v>
      </c>
      <c r="E40" s="602"/>
      <c r="F40" s="368" t="s">
        <v>489</v>
      </c>
      <c r="G40" s="604">
        <v>257.25</v>
      </c>
      <c r="H40" s="374">
        <f t="shared" si="2"/>
        <v>2.2333333333333339E-4</v>
      </c>
      <c r="I40" s="371">
        <f t="shared" si="1"/>
        <v>5.7452500000000013E-5</v>
      </c>
      <c r="J40" s="3"/>
      <c r="K40" s="30"/>
    </row>
    <row r="41" spans="1:11" ht="15.75" thickBot="1" x14ac:dyDescent="0.3">
      <c r="A41" s="30"/>
      <c r="B41" s="226"/>
      <c r="C41" s="227"/>
      <c r="D41" s="227"/>
      <c r="E41" s="227"/>
      <c r="F41" s="227"/>
      <c r="G41" s="227"/>
      <c r="H41" s="606" t="s">
        <v>10</v>
      </c>
      <c r="I41" s="607">
        <f>SUM(I5:I39)</f>
        <v>8.2197518912744058E-3</v>
      </c>
      <c r="J41" s="3"/>
      <c r="K41" s="30"/>
    </row>
    <row r="42" spans="1:11" ht="15.75" thickBot="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"/>
      <c r="K42" s="30"/>
    </row>
    <row r="43" spans="1:11" x14ac:dyDescent="0.25">
      <c r="B43" s="187" t="s">
        <v>291</v>
      </c>
      <c r="C43" s="194" t="s">
        <v>292</v>
      </c>
      <c r="D43" s="194" t="s">
        <v>11</v>
      </c>
      <c r="E43" s="205"/>
      <c r="F43" s="205"/>
      <c r="G43" s="206"/>
      <c r="J43" s="3"/>
      <c r="K43" s="30"/>
    </row>
    <row r="44" spans="1:11" x14ac:dyDescent="0.25">
      <c r="B44" s="207" t="s">
        <v>293</v>
      </c>
      <c r="C44" s="208">
        <v>6.0220000000000003E+23</v>
      </c>
      <c r="D44" s="197"/>
      <c r="E44" s="31"/>
      <c r="F44" s="31"/>
      <c r="G44" s="209"/>
    </row>
    <row r="45" spans="1:11" x14ac:dyDescent="0.25">
      <c r="B45" s="207" t="s">
        <v>294</v>
      </c>
      <c r="C45" s="208">
        <v>6.7000000000000004E-16</v>
      </c>
      <c r="D45" s="210" t="s">
        <v>282</v>
      </c>
      <c r="E45" s="31"/>
      <c r="F45" s="31"/>
      <c r="G45" s="209"/>
    </row>
    <row r="46" spans="1:11" x14ac:dyDescent="0.25">
      <c r="B46" s="207" t="s">
        <v>295</v>
      </c>
      <c r="C46" s="208">
        <v>2.9999999999999998E-13</v>
      </c>
      <c r="D46" s="210" t="s">
        <v>282</v>
      </c>
      <c r="E46" s="31"/>
      <c r="F46" s="31"/>
      <c r="G46" s="209"/>
    </row>
    <row r="47" spans="1:11" x14ac:dyDescent="0.25">
      <c r="B47" s="188" t="s">
        <v>296</v>
      </c>
      <c r="C47" s="208">
        <f>C45/C46</f>
        <v>2.2333333333333337E-3</v>
      </c>
      <c r="D47" s="210" t="s">
        <v>282</v>
      </c>
      <c r="E47" s="31"/>
      <c r="F47" s="31"/>
      <c r="G47" s="209"/>
    </row>
    <row r="48" spans="1:11" x14ac:dyDescent="0.25">
      <c r="B48" s="207" t="s">
        <v>297</v>
      </c>
      <c r="C48" s="211">
        <v>9.4999999999999999E-13</v>
      </c>
      <c r="D48" s="210" t="s">
        <v>298</v>
      </c>
      <c r="E48" s="31"/>
      <c r="F48" s="31"/>
      <c r="G48" s="209"/>
    </row>
    <row r="49" spans="2:9" x14ac:dyDescent="0.25">
      <c r="B49" s="212" t="s">
        <v>295</v>
      </c>
      <c r="C49" s="211">
        <v>2.8999999999999998E-13</v>
      </c>
      <c r="D49" s="210" t="s">
        <v>298</v>
      </c>
      <c r="E49" s="31"/>
      <c r="F49" s="31"/>
      <c r="G49" s="209"/>
    </row>
    <row r="50" spans="2:9" x14ac:dyDescent="0.25">
      <c r="B50" s="213"/>
      <c r="C50" s="31"/>
      <c r="D50" s="31"/>
      <c r="E50" s="31"/>
      <c r="F50" s="214"/>
      <c r="G50" s="215"/>
      <c r="H50" s="216"/>
      <c r="I50" s="183"/>
    </row>
    <row r="51" spans="2:9" x14ac:dyDescent="0.25">
      <c r="B51" s="217" t="s">
        <v>299</v>
      </c>
      <c r="C51" s="189"/>
      <c r="D51" s="189"/>
      <c r="E51" s="189"/>
      <c r="F51" s="189"/>
      <c r="G51" s="190"/>
    </row>
    <row r="52" spans="2:9" x14ac:dyDescent="0.25">
      <c r="B52" s="218" t="s">
        <v>300</v>
      </c>
      <c r="C52" s="219"/>
      <c r="D52" s="219"/>
      <c r="E52" s="219"/>
      <c r="F52" s="219"/>
      <c r="G52" s="220"/>
      <c r="H52" s="1"/>
    </row>
    <row r="53" spans="2:9" x14ac:dyDescent="0.25">
      <c r="B53" s="217" t="s">
        <v>301</v>
      </c>
      <c r="C53" s="221" t="s">
        <v>302</v>
      </c>
      <c r="D53" s="221" t="s">
        <v>303</v>
      </c>
      <c r="E53" s="221" t="s">
        <v>303</v>
      </c>
      <c r="F53" s="221" t="s">
        <v>303</v>
      </c>
      <c r="G53" s="222" t="s">
        <v>303</v>
      </c>
      <c r="H53" s="1"/>
    </row>
    <row r="54" spans="2:9" x14ac:dyDescent="0.25">
      <c r="B54" s="212" t="s">
        <v>304</v>
      </c>
      <c r="C54" s="76" t="s">
        <v>305</v>
      </c>
      <c r="D54" s="189" t="s">
        <v>237</v>
      </c>
      <c r="E54" s="189"/>
      <c r="F54" s="189"/>
      <c r="G54" s="190"/>
    </row>
    <row r="55" spans="2:9" x14ac:dyDescent="0.25">
      <c r="B55" s="212" t="s">
        <v>306</v>
      </c>
      <c r="C55" s="189" t="s">
        <v>307</v>
      </c>
      <c r="D55" s="189" t="s">
        <v>212</v>
      </c>
      <c r="E55" s="76" t="s">
        <v>214</v>
      </c>
      <c r="F55" s="76" t="s">
        <v>216</v>
      </c>
      <c r="G55" s="190"/>
    </row>
    <row r="56" spans="2:9" x14ac:dyDescent="0.25">
      <c r="B56" s="378" t="s">
        <v>308</v>
      </c>
      <c r="C56" s="379" t="s">
        <v>454</v>
      </c>
      <c r="D56" s="380" t="s">
        <v>450</v>
      </c>
      <c r="E56" s="379"/>
      <c r="F56" s="379"/>
      <c r="G56" s="381"/>
    </row>
    <row r="57" spans="2:9" x14ac:dyDescent="0.25">
      <c r="B57" s="212" t="s">
        <v>309</v>
      </c>
      <c r="C57" s="76" t="s">
        <v>310</v>
      </c>
      <c r="D57" s="189" t="s">
        <v>239</v>
      </c>
      <c r="E57" s="189"/>
      <c r="F57" s="189"/>
      <c r="G57" s="190"/>
    </row>
    <row r="58" spans="2:9" x14ac:dyDescent="0.25">
      <c r="B58" s="212" t="s">
        <v>311</v>
      </c>
      <c r="C58" s="76" t="s">
        <v>312</v>
      </c>
      <c r="D58" s="76" t="s">
        <v>193</v>
      </c>
      <c r="E58" s="76" t="s">
        <v>196</v>
      </c>
      <c r="F58" s="76" t="s">
        <v>198</v>
      </c>
      <c r="G58" s="223" t="s">
        <v>200</v>
      </c>
      <c r="H58" s="30"/>
    </row>
    <row r="59" spans="2:9" x14ac:dyDescent="0.25">
      <c r="B59" s="378" t="s">
        <v>451</v>
      </c>
      <c r="C59" s="379" t="s">
        <v>457</v>
      </c>
      <c r="D59" s="379" t="s">
        <v>452</v>
      </c>
      <c r="E59" s="379"/>
      <c r="F59" s="379"/>
      <c r="G59" s="381"/>
    </row>
    <row r="60" spans="2:9" x14ac:dyDescent="0.25">
      <c r="B60" s="212" t="s">
        <v>313</v>
      </c>
      <c r="C60" s="76" t="s">
        <v>314</v>
      </c>
      <c r="D60" s="76" t="s">
        <v>231</v>
      </c>
      <c r="E60" s="189"/>
      <c r="F60" s="189"/>
      <c r="G60" s="190"/>
    </row>
    <row r="61" spans="2:9" x14ac:dyDescent="0.25">
      <c r="B61" s="212" t="s">
        <v>315</v>
      </c>
      <c r="C61" s="76" t="s">
        <v>316</v>
      </c>
      <c r="D61" s="191" t="s">
        <v>446</v>
      </c>
      <c r="E61" s="189"/>
      <c r="F61" s="189"/>
      <c r="G61" s="190"/>
    </row>
    <row r="62" spans="2:9" x14ac:dyDescent="0.25">
      <c r="B62" s="212" t="s">
        <v>317</v>
      </c>
      <c r="C62" s="76" t="s">
        <v>318</v>
      </c>
      <c r="D62" s="191" t="s">
        <v>443</v>
      </c>
      <c r="E62" s="189" t="s">
        <v>448</v>
      </c>
      <c r="F62" s="189"/>
      <c r="G62" s="190"/>
    </row>
    <row r="63" spans="2:9" x14ac:dyDescent="0.25">
      <c r="B63" s="212" t="s">
        <v>319</v>
      </c>
      <c r="C63" s="76" t="s">
        <v>320</v>
      </c>
      <c r="D63" s="189" t="s">
        <v>202</v>
      </c>
      <c r="E63" s="189" t="s">
        <v>204</v>
      </c>
      <c r="F63" s="189" t="s">
        <v>206</v>
      </c>
      <c r="G63" s="190" t="s">
        <v>208</v>
      </c>
    </row>
    <row r="64" spans="2:9" x14ac:dyDescent="0.25">
      <c r="B64" s="212" t="s">
        <v>321</v>
      </c>
      <c r="C64" s="76" t="s">
        <v>322</v>
      </c>
      <c r="D64" s="189" t="s">
        <v>222</v>
      </c>
      <c r="E64" s="189"/>
      <c r="F64" s="189"/>
      <c r="G64" s="190"/>
    </row>
    <row r="65" spans="2:9" x14ac:dyDescent="0.25">
      <c r="B65" s="212" t="s">
        <v>323</v>
      </c>
      <c r="C65" s="76" t="s">
        <v>324</v>
      </c>
      <c r="D65" s="189" t="s">
        <v>241</v>
      </c>
      <c r="E65" s="189"/>
      <c r="F65" s="189"/>
      <c r="G65" s="190"/>
      <c r="H65" s="29"/>
    </row>
    <row r="66" spans="2:9" x14ac:dyDescent="0.25">
      <c r="B66" s="212" t="s">
        <v>325</v>
      </c>
      <c r="C66" s="76" t="s">
        <v>326</v>
      </c>
      <c r="D66" s="76" t="s">
        <v>218</v>
      </c>
      <c r="E66" s="189"/>
      <c r="F66" s="189"/>
      <c r="G66" s="190"/>
    </row>
    <row r="67" spans="2:9" x14ac:dyDescent="0.25">
      <c r="B67" s="212" t="s">
        <v>327</v>
      </c>
      <c r="C67" s="76" t="s">
        <v>328</v>
      </c>
      <c r="D67" s="76" t="s">
        <v>233</v>
      </c>
      <c r="E67" s="189"/>
      <c r="F67" s="189"/>
      <c r="G67" s="190"/>
    </row>
    <row r="68" spans="2:9" x14ac:dyDescent="0.25">
      <c r="B68" s="212" t="s">
        <v>455</v>
      </c>
      <c r="C68" s="76" t="s">
        <v>455</v>
      </c>
      <c r="D68" s="76" t="s">
        <v>444</v>
      </c>
      <c r="E68" s="189" t="s">
        <v>445</v>
      </c>
      <c r="F68" s="189"/>
      <c r="G68" s="190"/>
    </row>
    <row r="69" spans="2:9" x14ac:dyDescent="0.25">
      <c r="B69" s="437" t="s">
        <v>490</v>
      </c>
      <c r="C69" s="438" t="s">
        <v>491</v>
      </c>
      <c r="D69" s="438" t="s">
        <v>489</v>
      </c>
      <c r="E69" s="379"/>
      <c r="F69" s="379"/>
      <c r="G69" s="381"/>
    </row>
    <row r="70" spans="2:9" x14ac:dyDescent="0.25">
      <c r="B70" s="224" t="s">
        <v>329</v>
      </c>
      <c r="C70" s="76"/>
      <c r="D70" s="76"/>
      <c r="E70" s="76"/>
      <c r="F70" s="76"/>
      <c r="G70" s="190"/>
    </row>
    <row r="71" spans="2:9" x14ac:dyDescent="0.25">
      <c r="B71" s="225" t="s">
        <v>330</v>
      </c>
      <c r="C71" s="76" t="s">
        <v>330</v>
      </c>
      <c r="D71" s="76" t="s">
        <v>220</v>
      </c>
      <c r="E71" s="76"/>
      <c r="F71" s="76"/>
      <c r="G71" s="223"/>
      <c r="H71" s="30"/>
      <c r="I71" s="30"/>
    </row>
    <row r="72" spans="2:9" x14ac:dyDescent="0.25">
      <c r="B72" s="225" t="s">
        <v>331</v>
      </c>
      <c r="C72" s="76" t="s">
        <v>331</v>
      </c>
      <c r="D72" s="76" t="s">
        <v>224</v>
      </c>
      <c r="E72" s="76" t="s">
        <v>332</v>
      </c>
      <c r="F72" s="76" t="s">
        <v>228</v>
      </c>
      <c r="G72" s="223"/>
      <c r="H72" s="30"/>
      <c r="I72" s="30"/>
    </row>
    <row r="73" spans="2:9" x14ac:dyDescent="0.25">
      <c r="B73" s="225" t="s">
        <v>333</v>
      </c>
      <c r="C73" s="76" t="s">
        <v>334</v>
      </c>
      <c r="D73" s="76" t="s">
        <v>243</v>
      </c>
      <c r="E73" s="76" t="s">
        <v>210</v>
      </c>
      <c r="F73" s="76"/>
      <c r="G73" s="223"/>
      <c r="H73" s="30"/>
      <c r="I73" s="30"/>
    </row>
    <row r="74" spans="2:9" x14ac:dyDescent="0.25">
      <c r="B74" s="377" t="s">
        <v>453</v>
      </c>
      <c r="C74" s="379" t="s">
        <v>453</v>
      </c>
      <c r="D74" s="379" t="s">
        <v>447</v>
      </c>
      <c r="E74" s="379"/>
      <c r="F74" s="379"/>
      <c r="G74" s="381"/>
      <c r="H74" s="30"/>
      <c r="I74" s="30"/>
    </row>
    <row r="75" spans="2:9" x14ac:dyDescent="0.25">
      <c r="B75" s="224" t="s">
        <v>335</v>
      </c>
      <c r="C75" s="76"/>
      <c r="D75" s="76"/>
      <c r="E75" s="76"/>
      <c r="F75" s="76"/>
      <c r="G75" s="223"/>
      <c r="H75" s="30"/>
      <c r="I75" s="30"/>
    </row>
    <row r="76" spans="2:9" ht="15.75" thickBot="1" x14ac:dyDescent="0.3">
      <c r="B76" s="226" t="s">
        <v>336</v>
      </c>
      <c r="C76" s="227" t="s">
        <v>337</v>
      </c>
      <c r="D76" s="227" t="s">
        <v>235</v>
      </c>
      <c r="E76" s="227"/>
      <c r="F76" s="227"/>
      <c r="G76" s="228"/>
      <c r="H76" s="30"/>
      <c r="I76" s="30"/>
    </row>
    <row r="78" spans="2:9" x14ac:dyDescent="0.25">
      <c r="B78" s="383" t="s">
        <v>456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9.140625" defaultRowHeight="15" x14ac:dyDescent="0.25"/>
  <cols>
    <col min="1" max="1" width="3.42578125" customWidth="1"/>
    <col min="2" max="2" width="14.42578125" customWidth="1"/>
    <col min="3" max="3" width="19.140625" bestFit="1" customWidth="1"/>
    <col min="4" max="4" width="25" customWidth="1"/>
    <col min="5" max="5" width="18.7109375" bestFit="1" customWidth="1"/>
    <col min="6" max="6" width="7.7109375" bestFit="1" customWidth="1"/>
    <col min="7" max="7" width="13.85546875" bestFit="1" customWidth="1"/>
    <col min="8" max="8" width="13.85546875" customWidth="1"/>
    <col min="9" max="9" width="10.28515625" bestFit="1" customWidth="1"/>
  </cols>
  <sheetData>
    <row r="1" spans="2:10" ht="23.25" x14ac:dyDescent="0.35">
      <c r="B1" s="611" t="s">
        <v>512</v>
      </c>
      <c r="C1" s="612"/>
      <c r="D1" s="613"/>
      <c r="E1" s="2"/>
      <c r="F1" s="2"/>
      <c r="G1" s="2"/>
      <c r="H1" s="2"/>
    </row>
    <row r="2" spans="2:10" ht="15.75" thickBot="1" x14ac:dyDescent="0.3">
      <c r="C2" s="1"/>
      <c r="D2" s="2"/>
      <c r="E2" s="2"/>
      <c r="F2" s="2"/>
      <c r="G2" s="2"/>
      <c r="H2" s="2"/>
      <c r="I2" s="229" t="s">
        <v>11</v>
      </c>
      <c r="J2" s="29" t="s">
        <v>283</v>
      </c>
    </row>
    <row r="3" spans="2:10" x14ac:dyDescent="0.25">
      <c r="B3" s="230" t="s">
        <v>11</v>
      </c>
      <c r="C3" s="231" t="s">
        <v>338</v>
      </c>
      <c r="D3" s="231" t="s">
        <v>339</v>
      </c>
      <c r="E3" s="231" t="s">
        <v>340</v>
      </c>
      <c r="F3" s="231" t="s">
        <v>341</v>
      </c>
      <c r="G3" s="232" t="s">
        <v>342</v>
      </c>
      <c r="H3" s="388"/>
      <c r="I3" t="s">
        <v>282</v>
      </c>
      <c r="J3" t="s">
        <v>275</v>
      </c>
    </row>
    <row r="4" spans="2:10" x14ac:dyDescent="0.25">
      <c r="B4" s="188" t="s">
        <v>343</v>
      </c>
      <c r="C4" s="189" t="s">
        <v>344</v>
      </c>
      <c r="D4" s="189" t="s">
        <v>345</v>
      </c>
      <c r="E4" s="189">
        <v>225</v>
      </c>
      <c r="F4" s="233" t="s">
        <v>162</v>
      </c>
      <c r="G4" s="190">
        <f t="shared" ref="G4:G19" si="0">E4/$E$20</f>
        <v>0.70532915360501569</v>
      </c>
      <c r="H4" s="31"/>
      <c r="I4" t="s">
        <v>66</v>
      </c>
      <c r="J4" t="s">
        <v>67</v>
      </c>
    </row>
    <row r="5" spans="2:10" x14ac:dyDescent="0.25">
      <c r="B5" s="188" t="s">
        <v>343</v>
      </c>
      <c r="C5" s="189" t="s">
        <v>346</v>
      </c>
      <c r="D5" s="189" t="s">
        <v>347</v>
      </c>
      <c r="E5" s="189">
        <v>9</v>
      </c>
      <c r="F5" s="233" t="s">
        <v>170</v>
      </c>
      <c r="G5" s="190">
        <f t="shared" si="0"/>
        <v>2.8213166144200628E-2</v>
      </c>
      <c r="H5" s="31"/>
      <c r="I5" t="s">
        <v>274</v>
      </c>
    </row>
    <row r="6" spans="2:10" x14ac:dyDescent="0.25">
      <c r="B6" s="188" t="s">
        <v>343</v>
      </c>
      <c r="C6" s="189"/>
      <c r="D6" s="189"/>
      <c r="E6" s="189">
        <v>9</v>
      </c>
      <c r="F6" s="233" t="s">
        <v>172</v>
      </c>
      <c r="G6" s="190">
        <f t="shared" si="0"/>
        <v>2.8213166144200628E-2</v>
      </c>
      <c r="H6" s="31"/>
    </row>
    <row r="7" spans="2:10" x14ac:dyDescent="0.25">
      <c r="B7" s="188" t="s">
        <v>343</v>
      </c>
      <c r="C7" s="189" t="s">
        <v>348</v>
      </c>
      <c r="D7" s="189" t="s">
        <v>349</v>
      </c>
      <c r="E7" s="189">
        <v>10</v>
      </c>
      <c r="F7" s="233" t="s">
        <v>166</v>
      </c>
      <c r="G7" s="190">
        <f t="shared" si="0"/>
        <v>3.1347962382445138E-2</v>
      </c>
      <c r="H7" s="31"/>
    </row>
    <row r="8" spans="2:10" x14ac:dyDescent="0.25">
      <c r="B8" s="188" t="s">
        <v>343</v>
      </c>
      <c r="C8" s="189" t="s">
        <v>350</v>
      </c>
      <c r="D8" s="189" t="s">
        <v>351</v>
      </c>
      <c r="E8" s="189">
        <v>6</v>
      </c>
      <c r="F8" s="233" t="s">
        <v>183</v>
      </c>
      <c r="G8" s="190">
        <f t="shared" si="0"/>
        <v>1.8808777429467086E-2</v>
      </c>
      <c r="H8" s="31"/>
    </row>
    <row r="9" spans="2:10" x14ac:dyDescent="0.25">
      <c r="B9" s="188" t="s">
        <v>343</v>
      </c>
      <c r="C9" s="189" t="s">
        <v>352</v>
      </c>
      <c r="D9" s="189" t="s">
        <v>353</v>
      </c>
      <c r="E9" s="189">
        <v>6</v>
      </c>
      <c r="F9" s="233" t="s">
        <v>168</v>
      </c>
      <c r="G9" s="190">
        <f t="shared" si="0"/>
        <v>1.8808777429467086E-2</v>
      </c>
      <c r="H9" s="31"/>
    </row>
    <row r="10" spans="2:10" x14ac:dyDescent="0.25">
      <c r="B10" s="188" t="s">
        <v>343</v>
      </c>
      <c r="C10" s="189" t="s">
        <v>354</v>
      </c>
      <c r="D10" s="189" t="s">
        <v>355</v>
      </c>
      <c r="E10" s="189">
        <v>5</v>
      </c>
      <c r="F10" s="233" t="s">
        <v>356</v>
      </c>
      <c r="G10" s="190">
        <f t="shared" si="0"/>
        <v>1.5673981191222569E-2</v>
      </c>
      <c r="H10" s="31"/>
    </row>
    <row r="11" spans="2:10" x14ac:dyDescent="0.25">
      <c r="B11" s="188" t="s">
        <v>343</v>
      </c>
      <c r="C11" s="189" t="s">
        <v>357</v>
      </c>
      <c r="D11" s="189" t="s">
        <v>355</v>
      </c>
      <c r="E11" s="189">
        <v>5</v>
      </c>
      <c r="F11" s="233" t="s">
        <v>187</v>
      </c>
      <c r="G11" s="190">
        <f t="shared" si="0"/>
        <v>1.5673981191222569E-2</v>
      </c>
      <c r="H11" s="31"/>
    </row>
    <row r="12" spans="2:10" x14ac:dyDescent="0.25">
      <c r="B12" s="188" t="s">
        <v>343</v>
      </c>
      <c r="C12" s="189" t="s">
        <v>358</v>
      </c>
      <c r="D12" s="189" t="s">
        <v>359</v>
      </c>
      <c r="E12" s="189">
        <v>4</v>
      </c>
      <c r="F12" s="233" t="s">
        <v>173</v>
      </c>
      <c r="G12" s="190">
        <f t="shared" si="0"/>
        <v>1.2539184952978056E-2</v>
      </c>
      <c r="H12" s="31"/>
    </row>
    <row r="13" spans="2:10" x14ac:dyDescent="0.25">
      <c r="B13" s="188" t="s">
        <v>343</v>
      </c>
      <c r="C13" s="189" t="s">
        <v>360</v>
      </c>
      <c r="D13" s="189" t="s">
        <v>359</v>
      </c>
      <c r="E13" s="189">
        <v>4</v>
      </c>
      <c r="F13" s="233" t="s">
        <v>175</v>
      </c>
      <c r="G13" s="190">
        <f t="shared" si="0"/>
        <v>1.2539184952978056E-2</v>
      </c>
      <c r="H13" s="31"/>
    </row>
    <row r="14" spans="2:10" x14ac:dyDescent="0.25">
      <c r="B14" s="188" t="s">
        <v>343</v>
      </c>
      <c r="C14" s="189" t="s">
        <v>361</v>
      </c>
      <c r="D14" s="189" t="s">
        <v>359</v>
      </c>
      <c r="E14" s="189">
        <v>4</v>
      </c>
      <c r="F14" s="233" t="s">
        <v>177</v>
      </c>
      <c r="G14" s="190">
        <f t="shared" si="0"/>
        <v>1.2539184952978056E-2</v>
      </c>
      <c r="H14" s="31"/>
    </row>
    <row r="15" spans="2:10" x14ac:dyDescent="0.25">
      <c r="B15" s="188" t="s">
        <v>343</v>
      </c>
      <c r="C15" s="189" t="s">
        <v>362</v>
      </c>
      <c r="D15" s="189" t="s">
        <v>359</v>
      </c>
      <c r="E15" s="189">
        <v>4</v>
      </c>
      <c r="F15" s="233" t="s">
        <v>181</v>
      </c>
      <c r="G15" s="190">
        <f>E16/$E$20</f>
        <v>1.2539184952978056E-2</v>
      </c>
      <c r="H15" s="31"/>
    </row>
    <row r="16" spans="2:10" x14ac:dyDescent="0.25">
      <c r="B16" s="188" t="s">
        <v>460</v>
      </c>
      <c r="C16" s="189" t="s">
        <v>459</v>
      </c>
      <c r="D16" s="189" t="s">
        <v>359</v>
      </c>
      <c r="E16" s="189">
        <v>4</v>
      </c>
      <c r="F16" s="233" t="s">
        <v>458</v>
      </c>
      <c r="G16" s="190">
        <f>E17/$E$20</f>
        <v>1.2539184952978056E-2</v>
      </c>
      <c r="H16" s="31"/>
    </row>
    <row r="17" spans="2:8" x14ac:dyDescent="0.25">
      <c r="B17" s="188" t="s">
        <v>343</v>
      </c>
      <c r="C17" s="189"/>
      <c r="D17" s="189" t="s">
        <v>363</v>
      </c>
      <c r="E17" s="189">
        <v>4</v>
      </c>
      <c r="F17" s="233" t="s">
        <v>179</v>
      </c>
      <c r="G17" s="190">
        <f t="shared" si="0"/>
        <v>1.2539184952978056E-2</v>
      </c>
      <c r="H17" s="31"/>
    </row>
    <row r="18" spans="2:8" x14ac:dyDescent="0.25">
      <c r="B18" s="188" t="s">
        <v>343</v>
      </c>
      <c r="C18" s="189"/>
      <c r="D18" s="189" t="s">
        <v>364</v>
      </c>
      <c r="E18" s="189">
        <v>15</v>
      </c>
      <c r="F18" s="233" t="s">
        <v>164</v>
      </c>
      <c r="G18" s="190">
        <f t="shared" si="0"/>
        <v>4.7021943573667714E-2</v>
      </c>
      <c r="H18" s="31"/>
    </row>
    <row r="19" spans="2:8" x14ac:dyDescent="0.25">
      <c r="B19" s="188" t="s">
        <v>343</v>
      </c>
      <c r="C19" s="189"/>
      <c r="D19" s="189" t="s">
        <v>365</v>
      </c>
      <c r="E19" s="189">
        <v>5</v>
      </c>
      <c r="F19" s="233" t="s">
        <v>185</v>
      </c>
      <c r="G19" s="190">
        <f t="shared" si="0"/>
        <v>1.5673981191222569E-2</v>
      </c>
      <c r="H19" s="31"/>
    </row>
    <row r="20" spans="2:8" ht="15.75" thickBot="1" x14ac:dyDescent="0.3">
      <c r="B20" s="192"/>
      <c r="C20" s="193"/>
      <c r="D20" s="234" t="s">
        <v>21</v>
      </c>
      <c r="E20" s="193">
        <f>SUM(E4:E19)</f>
        <v>319</v>
      </c>
      <c r="F20" s="227"/>
      <c r="G20" s="235">
        <f>SUM(G4:G19)</f>
        <v>0.99999999999999967</v>
      </c>
      <c r="H20" s="31"/>
    </row>
    <row r="44" spans="2:14" x14ac:dyDescent="0.25">
      <c r="B44" s="30"/>
      <c r="C44" s="30"/>
      <c r="D44" s="30"/>
      <c r="E44" s="30"/>
      <c r="F44" s="30"/>
      <c r="G44" s="30"/>
      <c r="H44" s="30"/>
      <c r="J44" s="30"/>
      <c r="K44" s="30"/>
      <c r="L44" s="30"/>
      <c r="M44" s="30"/>
      <c r="N44" s="30"/>
    </row>
    <row r="45" spans="2:14" x14ac:dyDescent="0.25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2:14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14" x14ac:dyDescent="0.2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2:14" x14ac:dyDescent="0.2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 x14ac:dyDescent="0.25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 x14ac:dyDescent="0.25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 x14ac:dyDescent="0.2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 x14ac:dyDescent="0.2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2:14" x14ac:dyDescent="0.25">
      <c r="I53" s="3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pane ySplit="1" topLeftCell="A5" activePane="bottomLeft" state="frozen"/>
      <selection pane="bottomLeft" activeCell="H8" sqref="H8"/>
    </sheetView>
  </sheetViews>
  <sheetFormatPr baseColWidth="10" defaultColWidth="9.140625" defaultRowHeight="15" x14ac:dyDescent="0.25"/>
  <cols>
    <col min="1" max="1" width="4.85546875" style="14" customWidth="1"/>
    <col min="2" max="2" width="25" style="14" customWidth="1"/>
    <col min="3" max="3" width="10.85546875" style="2" customWidth="1"/>
    <col min="4" max="4" width="15.28515625" style="2" customWidth="1"/>
    <col min="5" max="5" width="10" style="2" customWidth="1"/>
    <col min="6" max="6" width="29.42578125" style="2" customWidth="1"/>
    <col min="7" max="7" width="22.7109375" style="2" bestFit="1" customWidth="1"/>
    <col min="8" max="8" width="14.7109375" style="14" bestFit="1" customWidth="1"/>
    <col min="9" max="9" width="9.140625" style="14"/>
    <col min="10" max="10" width="20.28515625" style="14" customWidth="1"/>
    <col min="11" max="11" width="13.42578125" style="14" customWidth="1"/>
    <col min="12" max="13" width="9.140625" style="14"/>
    <col min="14" max="14" width="16.140625" style="14" customWidth="1"/>
    <col min="15" max="16384" width="9.140625" style="14"/>
  </cols>
  <sheetData>
    <row r="1" spans="1:26" ht="33.75" customHeight="1" x14ac:dyDescent="0.3">
      <c r="A1" s="407"/>
      <c r="B1" s="408" t="s">
        <v>407</v>
      </c>
      <c r="C1" s="289"/>
      <c r="D1" s="289"/>
      <c r="E1" s="289"/>
      <c r="F1" s="289"/>
      <c r="G1" s="289"/>
      <c r="H1" s="409"/>
      <c r="I1" s="409"/>
      <c r="J1" s="410" t="s">
        <v>4</v>
      </c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11"/>
    </row>
    <row r="2" spans="1:26" ht="15.75" thickBot="1" x14ac:dyDescent="0.3">
      <c r="A2" s="412"/>
      <c r="B2" s="413"/>
      <c r="C2" s="239"/>
      <c r="D2" s="239"/>
      <c r="E2" s="239"/>
      <c r="F2" s="239"/>
      <c r="G2" s="239"/>
      <c r="H2" s="414"/>
      <c r="I2" s="414"/>
      <c r="J2" s="415" t="s">
        <v>401</v>
      </c>
      <c r="K2" s="415" t="s">
        <v>402</v>
      </c>
      <c r="L2" s="415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416"/>
    </row>
    <row r="3" spans="1:26" ht="15.75" thickBot="1" x14ac:dyDescent="0.3">
      <c r="A3" s="417"/>
      <c r="B3" s="418"/>
      <c r="C3" s="32"/>
      <c r="D3" s="32"/>
      <c r="E3" s="32"/>
      <c r="F3" s="32"/>
      <c r="G3" s="32"/>
      <c r="H3" s="417"/>
      <c r="I3" s="417"/>
      <c r="J3" s="419"/>
      <c r="K3" s="419"/>
      <c r="L3" s="419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</row>
    <row r="4" spans="1:26" x14ac:dyDescent="0.25">
      <c r="B4" s="270" t="s">
        <v>366</v>
      </c>
      <c r="C4" s="271" t="s">
        <v>367</v>
      </c>
      <c r="D4" s="271" t="s">
        <v>368</v>
      </c>
      <c r="E4" s="271" t="s">
        <v>369</v>
      </c>
      <c r="F4" s="272" t="s">
        <v>4</v>
      </c>
      <c r="G4" s="271"/>
      <c r="H4" s="421"/>
      <c r="J4" s="422"/>
      <c r="K4" s="422"/>
      <c r="L4" s="422"/>
    </row>
    <row r="5" spans="1:26" x14ac:dyDescent="0.25">
      <c r="B5" s="236" t="s">
        <v>370</v>
      </c>
      <c r="C5" s="197">
        <v>0.748</v>
      </c>
      <c r="D5" s="197">
        <v>0.247</v>
      </c>
      <c r="E5" s="197">
        <v>5.0000000000000001E-3</v>
      </c>
      <c r="F5" s="197" t="s">
        <v>401</v>
      </c>
      <c r="G5" s="197"/>
      <c r="H5" s="423"/>
      <c r="J5" s="422"/>
      <c r="K5" s="422"/>
      <c r="L5" s="422"/>
    </row>
    <row r="6" spans="1:26" x14ac:dyDescent="0.25">
      <c r="B6" s="424" t="s">
        <v>371</v>
      </c>
      <c r="C6" s="197"/>
      <c r="D6" s="197"/>
      <c r="E6" s="197"/>
      <c r="F6" s="197"/>
      <c r="G6" s="238" t="s">
        <v>372</v>
      </c>
      <c r="H6" s="425" t="s">
        <v>373</v>
      </c>
      <c r="I6" s="422"/>
    </row>
    <row r="7" spans="1:26" x14ac:dyDescent="0.25">
      <c r="B7" s="426" t="s">
        <v>374</v>
      </c>
      <c r="C7" s="197">
        <v>0.8</v>
      </c>
      <c r="D7" s="197">
        <v>0</v>
      </c>
      <c r="E7" s="197">
        <v>0</v>
      </c>
      <c r="F7" s="197" t="s">
        <v>405</v>
      </c>
      <c r="G7" s="273">
        <f>C7*C5</f>
        <v>0.59840000000000004</v>
      </c>
      <c r="H7" s="427" t="s">
        <v>137</v>
      </c>
      <c r="I7" s="435"/>
      <c r="J7" s="406" t="s">
        <v>484</v>
      </c>
    </row>
    <row r="8" spans="1:26" x14ac:dyDescent="0.25">
      <c r="B8" s="426" t="s">
        <v>375</v>
      </c>
      <c r="C8" s="197">
        <v>0.2</v>
      </c>
      <c r="D8" s="197">
        <v>0</v>
      </c>
      <c r="E8" s="197">
        <v>0</v>
      </c>
      <c r="F8" s="197" t="s">
        <v>405</v>
      </c>
      <c r="G8" s="273">
        <f>C8*C5</f>
        <v>0.14960000000000001</v>
      </c>
      <c r="H8" s="427" t="s">
        <v>140</v>
      </c>
      <c r="J8" s="14" t="s">
        <v>485</v>
      </c>
    </row>
    <row r="9" spans="1:26" x14ac:dyDescent="0.25">
      <c r="B9" s="426" t="s">
        <v>376</v>
      </c>
      <c r="C9" s="197">
        <v>0</v>
      </c>
      <c r="D9" s="197">
        <v>0.9</v>
      </c>
      <c r="E9" s="197">
        <v>0</v>
      </c>
      <c r="F9" s="197" t="s">
        <v>405</v>
      </c>
      <c r="G9" s="273">
        <f>D9*D5</f>
        <v>0.2223</v>
      </c>
      <c r="H9" s="427" t="s">
        <v>142</v>
      </c>
      <c r="J9" s="406" t="s">
        <v>486</v>
      </c>
    </row>
    <row r="10" spans="1:26" x14ac:dyDescent="0.25">
      <c r="B10" s="426" t="s">
        <v>377</v>
      </c>
      <c r="C10" s="197">
        <v>0</v>
      </c>
      <c r="D10" s="197">
        <v>0.1</v>
      </c>
      <c r="E10" s="197">
        <v>0</v>
      </c>
      <c r="F10" s="197" t="s">
        <v>405</v>
      </c>
      <c r="G10" s="273">
        <f>D10*D5</f>
        <v>2.47E-2</v>
      </c>
      <c r="H10" s="427" t="s">
        <v>144</v>
      </c>
      <c r="I10" s="422"/>
      <c r="J10" s="422" t="s">
        <v>487</v>
      </c>
    </row>
    <row r="11" spans="1:26" x14ac:dyDescent="0.25">
      <c r="B11" s="426" t="s">
        <v>378</v>
      </c>
      <c r="C11" s="197">
        <v>0</v>
      </c>
      <c r="D11" s="197">
        <v>0</v>
      </c>
      <c r="E11" s="197">
        <v>1</v>
      </c>
      <c r="F11" s="197" t="s">
        <v>405</v>
      </c>
      <c r="G11" s="273">
        <f>E11*E5</f>
        <v>5.0000000000000001E-3</v>
      </c>
      <c r="H11" s="427" t="s">
        <v>146</v>
      </c>
      <c r="I11" s="422"/>
      <c r="J11" s="422" t="s">
        <v>488</v>
      </c>
    </row>
    <row r="12" spans="1:26" x14ac:dyDescent="0.25">
      <c r="B12" s="428"/>
      <c r="C12" s="32"/>
      <c r="D12" s="32"/>
      <c r="E12" s="32"/>
      <c r="F12" s="32"/>
      <c r="G12" s="237"/>
      <c r="H12" s="429"/>
      <c r="I12" s="422"/>
      <c r="J12" s="422"/>
    </row>
    <row r="13" spans="1:26" x14ac:dyDescent="0.25">
      <c r="B13" s="430" t="s">
        <v>379</v>
      </c>
      <c r="C13" s="32"/>
      <c r="D13" s="32"/>
      <c r="E13" s="32"/>
      <c r="F13" s="32"/>
      <c r="G13" s="237"/>
      <c r="H13" s="429"/>
      <c r="I13" s="422"/>
      <c r="J13" s="422"/>
    </row>
    <row r="14" spans="1:26" x14ac:dyDescent="0.25">
      <c r="B14" s="431" t="s">
        <v>380</v>
      </c>
      <c r="C14" s="32"/>
      <c r="D14" s="32"/>
      <c r="E14" s="32"/>
      <c r="F14" s="32"/>
      <c r="G14" s="32"/>
      <c r="H14" s="432"/>
      <c r="K14" s="14" t="s">
        <v>481</v>
      </c>
    </row>
    <row r="15" spans="1:26" x14ac:dyDescent="0.25">
      <c r="B15" s="431" t="s">
        <v>381</v>
      </c>
      <c r="C15" s="32"/>
      <c r="D15" s="32"/>
      <c r="E15" s="32"/>
      <c r="F15" s="32"/>
      <c r="G15" s="32"/>
      <c r="H15" s="432"/>
    </row>
    <row r="16" spans="1:26" ht="15.75" thickBot="1" x14ac:dyDescent="0.3">
      <c r="B16" s="433"/>
      <c r="C16" s="239"/>
      <c r="D16" s="239"/>
      <c r="E16" s="239"/>
      <c r="F16" s="239"/>
      <c r="G16" s="239"/>
      <c r="H16" s="434"/>
    </row>
    <row r="22" spans="5:16" x14ac:dyDescent="0.25">
      <c r="J22" s="2" t="s">
        <v>479</v>
      </c>
      <c r="K22" s="2"/>
      <c r="L22" s="2"/>
      <c r="M22" s="2"/>
      <c r="N22" s="2"/>
      <c r="O22" s="2"/>
      <c r="P22" s="14" t="s">
        <v>480</v>
      </c>
    </row>
    <row r="23" spans="5:16" x14ac:dyDescent="0.25">
      <c r="J23" s="14" t="s">
        <v>473</v>
      </c>
      <c r="K23" s="14" t="s">
        <v>474</v>
      </c>
      <c r="L23" s="14" t="s">
        <v>475</v>
      </c>
      <c r="M23" s="14" t="s">
        <v>476</v>
      </c>
      <c r="N23" s="14" t="s">
        <v>477</v>
      </c>
      <c r="O23" s="14" t="s">
        <v>478</v>
      </c>
    </row>
    <row r="24" spans="5:16" x14ac:dyDescent="0.25">
      <c r="I24" s="14" t="s">
        <v>482</v>
      </c>
      <c r="J24" s="14">
        <v>69.2</v>
      </c>
      <c r="K24" s="14">
        <v>28.7</v>
      </c>
      <c r="L24" s="14">
        <v>2.1</v>
      </c>
      <c r="M24" s="14">
        <v>11</v>
      </c>
      <c r="N24" s="14">
        <v>5.4</v>
      </c>
      <c r="O24" s="14">
        <v>4.5</v>
      </c>
      <c r="P24" s="14">
        <v>32.9</v>
      </c>
    </row>
    <row r="25" spans="5:16" x14ac:dyDescent="0.25">
      <c r="E25" s="14"/>
      <c r="F25" s="14"/>
      <c r="G25" s="14"/>
    </row>
    <row r="26" spans="5:16" x14ac:dyDescent="0.25">
      <c r="E26" s="14"/>
      <c r="F26" s="14"/>
      <c r="G26" s="14"/>
      <c r="I26" s="14" t="s">
        <v>483</v>
      </c>
      <c r="J26" s="14">
        <v>74.8</v>
      </c>
      <c r="K26" s="14">
        <v>24.7</v>
      </c>
      <c r="L26" s="14">
        <v>0.5</v>
      </c>
      <c r="M26" s="14">
        <v>5.8</v>
      </c>
      <c r="N26" s="14">
        <v>0.3</v>
      </c>
      <c r="O26" s="14">
        <v>3.4</v>
      </c>
      <c r="P26" s="14">
        <v>25.8</v>
      </c>
    </row>
    <row r="27" spans="5:16" x14ac:dyDescent="0.25">
      <c r="E27" s="14"/>
      <c r="F27" s="14"/>
      <c r="G27" s="14"/>
    </row>
    <row r="28" spans="5:16" x14ac:dyDescent="0.25">
      <c r="E28" s="14"/>
      <c r="F28" s="14"/>
      <c r="G28" s="14"/>
    </row>
    <row r="29" spans="5:16" x14ac:dyDescent="0.25">
      <c r="E29" s="14"/>
      <c r="F29" s="14"/>
      <c r="G29" s="14"/>
    </row>
    <row r="30" spans="5:16" x14ac:dyDescent="0.25">
      <c r="E30" s="14"/>
      <c r="F30" s="14"/>
      <c r="G30" s="14"/>
    </row>
    <row r="31" spans="5:16" x14ac:dyDescent="0.25">
      <c r="E31" s="14"/>
      <c r="F31" s="14"/>
      <c r="G31" s="14"/>
    </row>
    <row r="32" spans="5:16" x14ac:dyDescent="0.25">
      <c r="E32" s="14"/>
      <c r="F32" s="14"/>
      <c r="G32" s="14"/>
    </row>
    <row r="33" spans="5:7" x14ac:dyDescent="0.25">
      <c r="E33" s="14"/>
      <c r="F33" s="14"/>
      <c r="G33" s="14"/>
    </row>
    <row r="34" spans="5:7" x14ac:dyDescent="0.25">
      <c r="E34" s="14"/>
      <c r="F34" s="14"/>
      <c r="G34" s="14"/>
    </row>
    <row r="35" spans="5:7" x14ac:dyDescent="0.25">
      <c r="E35" s="14"/>
      <c r="F35" s="14"/>
      <c r="G35" s="14"/>
    </row>
    <row r="36" spans="5:7" x14ac:dyDescent="0.25">
      <c r="E36" s="14"/>
      <c r="F36" s="14"/>
      <c r="G36" s="14"/>
    </row>
    <row r="37" spans="5:7" x14ac:dyDescent="0.25">
      <c r="E37" s="14"/>
      <c r="F37" s="14"/>
      <c r="G37" s="14"/>
    </row>
    <row r="38" spans="5:7" x14ac:dyDescent="0.25">
      <c r="E38" s="14"/>
      <c r="F38" s="14"/>
      <c r="G38" s="14"/>
    </row>
    <row r="39" spans="5:7" x14ac:dyDescent="0.25">
      <c r="E39" s="14"/>
      <c r="F39" s="14"/>
      <c r="G39" s="14"/>
    </row>
    <row r="40" spans="5:7" x14ac:dyDescent="0.25">
      <c r="E40" s="14"/>
      <c r="F40" s="14"/>
      <c r="G40" s="14"/>
    </row>
    <row r="41" spans="5:7" x14ac:dyDescent="0.25">
      <c r="E41" s="14"/>
      <c r="F41" s="14"/>
      <c r="G41" s="14"/>
    </row>
    <row r="42" spans="5:7" x14ac:dyDescent="0.25">
      <c r="E42" s="14"/>
      <c r="F42" s="14"/>
      <c r="G42" s="14"/>
    </row>
    <row r="43" spans="5:7" x14ac:dyDescent="0.25">
      <c r="E43" s="14"/>
      <c r="F43" s="14"/>
      <c r="G43" s="14"/>
    </row>
    <row r="44" spans="5:7" x14ac:dyDescent="0.25">
      <c r="E44" s="14"/>
      <c r="F44" s="14"/>
      <c r="G44" s="14"/>
    </row>
    <row r="45" spans="5:7" x14ac:dyDescent="0.25">
      <c r="E45" s="14"/>
      <c r="F45" s="14"/>
      <c r="G45" s="14"/>
    </row>
    <row r="46" spans="5:7" x14ac:dyDescent="0.25">
      <c r="E46" s="14"/>
      <c r="F46" s="14"/>
      <c r="G46" s="14"/>
    </row>
    <row r="47" spans="5:7" x14ac:dyDescent="0.25">
      <c r="E47" s="14"/>
      <c r="F47" s="14"/>
      <c r="G47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ySplit="1" topLeftCell="A23" activePane="bottomLeft" state="frozen"/>
      <selection pane="bottomLeft" activeCell="F39" sqref="F39"/>
    </sheetView>
  </sheetViews>
  <sheetFormatPr baseColWidth="10" defaultColWidth="11.42578125" defaultRowHeight="15" x14ac:dyDescent="0.25"/>
  <cols>
    <col min="1" max="2" width="29.85546875" customWidth="1"/>
    <col min="3" max="3" width="24.42578125" customWidth="1"/>
    <col min="4" max="4" width="24.7109375" customWidth="1"/>
    <col min="5" max="5" width="17.7109375" customWidth="1"/>
    <col min="6" max="6" width="18.85546875" customWidth="1"/>
    <col min="7" max="7" width="19.85546875" customWidth="1"/>
    <col min="9" max="9" width="15.85546875" customWidth="1"/>
    <col min="10" max="10" width="19.42578125" customWidth="1"/>
    <col min="11" max="11" width="22.42578125" customWidth="1"/>
    <col min="12" max="12" width="29.42578125" customWidth="1"/>
    <col min="13" max="13" width="24.42578125" customWidth="1"/>
    <col min="14" max="14" width="32.28515625" customWidth="1"/>
  </cols>
  <sheetData>
    <row r="1" spans="1:20" ht="27" customHeight="1" x14ac:dyDescent="0.3">
      <c r="A1" s="299" t="s">
        <v>408</v>
      </c>
      <c r="B1" s="289"/>
      <c r="C1" s="289"/>
      <c r="D1" s="289"/>
      <c r="E1" s="289"/>
      <c r="F1" s="289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1"/>
    </row>
    <row r="2" spans="1:20" x14ac:dyDescent="0.25">
      <c r="A2" s="300"/>
      <c r="B2" s="301"/>
      <c r="C2" s="301"/>
      <c r="D2" s="301"/>
      <c r="E2" s="301"/>
      <c r="F2" s="301"/>
      <c r="G2" s="302" t="s">
        <v>4</v>
      </c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5"/>
    </row>
    <row r="3" spans="1:20" ht="15.75" thickBot="1" x14ac:dyDescent="0.3">
      <c r="A3" s="303"/>
      <c r="B3" s="239"/>
      <c r="C3" s="239"/>
      <c r="D3" s="239"/>
      <c r="E3" s="239"/>
      <c r="F3" s="239"/>
      <c r="G3" s="304" t="s">
        <v>7</v>
      </c>
      <c r="H3" s="305" t="s">
        <v>406</v>
      </c>
      <c r="I3" s="297"/>
      <c r="J3" s="297"/>
      <c r="K3" s="297"/>
      <c r="L3" s="305"/>
      <c r="M3" s="305"/>
      <c r="N3" s="306"/>
      <c r="O3" s="297"/>
      <c r="P3" s="297"/>
      <c r="Q3" s="297"/>
      <c r="R3" s="297"/>
      <c r="S3" s="297"/>
      <c r="T3" s="298"/>
    </row>
    <row r="4" spans="1:20" ht="15.75" thickBot="1" x14ac:dyDescent="0.3">
      <c r="B4" s="2"/>
      <c r="C4" s="2"/>
      <c r="D4" s="2"/>
      <c r="E4" s="2"/>
      <c r="H4" s="3"/>
    </row>
    <row r="5" spans="1:20" ht="15.75" thickBot="1" x14ac:dyDescent="0.3">
      <c r="A5" s="4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8"/>
    </row>
    <row r="6" spans="1:20" x14ac:dyDescent="0.25">
      <c r="A6" s="9" t="s">
        <v>5</v>
      </c>
      <c r="B6" s="10">
        <v>61.278570051650902</v>
      </c>
      <c r="C6" s="10">
        <f>(B6*100)/99.63122949</f>
        <v>61.505383769053502</v>
      </c>
      <c r="D6" s="11">
        <f>C6/100</f>
        <v>0.61505383769053501</v>
      </c>
      <c r="E6" s="12" t="s">
        <v>6</v>
      </c>
      <c r="F6" s="13"/>
    </row>
    <row r="7" spans="1:20" x14ac:dyDescent="0.25">
      <c r="A7" s="9" t="s">
        <v>8</v>
      </c>
      <c r="B7" s="17">
        <v>33.855341246542274</v>
      </c>
      <c r="C7" s="17">
        <f>(B7*100)/99.63122949</f>
        <v>33.980651869743653</v>
      </c>
      <c r="D7" s="18">
        <f>C7/100</f>
        <v>0.33980651869743655</v>
      </c>
      <c r="E7" s="19" t="s">
        <v>6</v>
      </c>
      <c r="F7" s="15"/>
      <c r="G7" s="15"/>
      <c r="H7" s="15"/>
      <c r="I7" s="16"/>
    </row>
    <row r="8" spans="1:20" x14ac:dyDescent="0.25">
      <c r="A8" s="9" t="s">
        <v>9</v>
      </c>
      <c r="B8" s="17">
        <v>4.4973181931096367</v>
      </c>
      <c r="C8" s="17">
        <f>(B8*100)/99.63122949</f>
        <v>4.5139643625104853</v>
      </c>
      <c r="D8" s="18">
        <f>C8/100</f>
        <v>4.513964362510485E-2</v>
      </c>
      <c r="E8" s="19" t="s">
        <v>6</v>
      </c>
      <c r="F8" s="21"/>
    </row>
    <row r="9" spans="1:20" x14ac:dyDescent="0.25">
      <c r="A9" s="49" t="s">
        <v>38</v>
      </c>
      <c r="B9" s="266">
        <f>SUM(B6:B8)</f>
        <v>99.631229491302804</v>
      </c>
      <c r="C9" s="266">
        <f>SUM(C6:C8)</f>
        <v>100.00000000130763</v>
      </c>
      <c r="D9" s="266">
        <f>C9/100</f>
        <v>1.0000000000130762</v>
      </c>
      <c r="E9" s="19" t="s">
        <v>6</v>
      </c>
      <c r="F9" s="21"/>
    </row>
    <row r="10" spans="1:20" x14ac:dyDescent="0.25">
      <c r="A10" s="22"/>
      <c r="B10" s="23"/>
      <c r="C10" s="23"/>
      <c r="D10" s="23"/>
      <c r="E10" s="24"/>
      <c r="F10" s="21"/>
    </row>
    <row r="11" spans="1:20" ht="15.75" thickBot="1" x14ac:dyDescent="0.3">
      <c r="B11" s="21"/>
      <c r="C11" s="21"/>
      <c r="D11" s="21"/>
      <c r="E11" s="24"/>
      <c r="F11" s="21"/>
    </row>
    <row r="12" spans="1:20" x14ac:dyDescent="0.25">
      <c r="A12" s="25" t="s">
        <v>12</v>
      </c>
      <c r="B12" s="26" t="s">
        <v>1</v>
      </c>
      <c r="C12" s="26" t="s">
        <v>13</v>
      </c>
      <c r="D12" s="26" t="s">
        <v>14</v>
      </c>
      <c r="E12" s="27" t="s">
        <v>4</v>
      </c>
      <c r="F12" s="21"/>
    </row>
    <row r="13" spans="1:20" x14ac:dyDescent="0.25">
      <c r="A13" s="28" t="s">
        <v>15</v>
      </c>
      <c r="B13" s="17">
        <v>0.34665896819877484</v>
      </c>
      <c r="C13" s="17">
        <f>(B13*100)/94.048</f>
        <v>0.36859791616916343</v>
      </c>
      <c r="D13" s="17">
        <f>C13/100</f>
        <v>3.6859791616916343E-3</v>
      </c>
      <c r="E13" s="19" t="s">
        <v>6</v>
      </c>
      <c r="F13" s="21"/>
    </row>
    <row r="14" spans="1:20" x14ac:dyDescent="0.25">
      <c r="A14" s="28" t="s">
        <v>16</v>
      </c>
      <c r="B14" s="17">
        <v>10.875188099829632</v>
      </c>
      <c r="C14" s="17">
        <f t="shared" ref="C14:C18" si="0">(B14*100)/94.048</f>
        <v>11.563444304854576</v>
      </c>
      <c r="D14" s="17">
        <f t="shared" ref="D14:D18" si="1">C14/100</f>
        <v>0.11563444304854575</v>
      </c>
      <c r="E14" s="19" t="s">
        <v>6</v>
      </c>
      <c r="F14" s="21"/>
    </row>
    <row r="15" spans="1:20" x14ac:dyDescent="0.25">
      <c r="A15" s="28" t="s">
        <v>17</v>
      </c>
      <c r="B15" s="17">
        <v>54.020633049628252</v>
      </c>
      <c r="C15" s="17">
        <f t="shared" si="0"/>
        <v>57.439427791795943</v>
      </c>
      <c r="D15" s="17">
        <f t="shared" si="1"/>
        <v>0.57439427791795938</v>
      </c>
      <c r="E15" s="19" t="s">
        <v>6</v>
      </c>
      <c r="F15" s="21"/>
    </row>
    <row r="16" spans="1:20" x14ac:dyDescent="0.25">
      <c r="A16" s="28" t="s">
        <v>18</v>
      </c>
      <c r="B16" s="17">
        <v>24.620460070509552</v>
      </c>
      <c r="C16" s="17">
        <f t="shared" si="0"/>
        <v>26.178610997054218</v>
      </c>
      <c r="D16" s="17">
        <f t="shared" si="1"/>
        <v>0.26178610997054219</v>
      </c>
      <c r="E16" s="19" t="s">
        <v>6</v>
      </c>
      <c r="F16" s="30"/>
      <c r="I16" s="21"/>
      <c r="J16" s="21"/>
      <c r="K16" s="21"/>
    </row>
    <row r="17" spans="1:13" x14ac:dyDescent="0.25">
      <c r="A17" s="28" t="s">
        <v>19</v>
      </c>
      <c r="B17" s="17">
        <v>3.6187512100368773</v>
      </c>
      <c r="C17" s="17">
        <f t="shared" si="0"/>
        <v>3.8477705108422056</v>
      </c>
      <c r="D17" s="17">
        <f t="shared" si="1"/>
        <v>3.8477705108422057E-2</v>
      </c>
      <c r="E17" s="19" t="s">
        <v>6</v>
      </c>
      <c r="F17" s="30"/>
      <c r="I17" s="21"/>
      <c r="J17" s="21"/>
      <c r="K17" s="21"/>
      <c r="L17" s="37"/>
      <c r="M17" s="38"/>
    </row>
    <row r="18" spans="1:13" x14ac:dyDescent="0.25">
      <c r="A18" s="439" t="s">
        <v>493</v>
      </c>
      <c r="B18" s="17">
        <v>0.56673415665170601</v>
      </c>
      <c r="C18" s="17">
        <f t="shared" si="0"/>
        <v>0.60260096615739411</v>
      </c>
      <c r="D18" s="17">
        <f t="shared" si="1"/>
        <v>6.0260096615739412E-3</v>
      </c>
      <c r="E18" s="19" t="s">
        <v>6</v>
      </c>
      <c r="F18" s="30"/>
      <c r="I18" s="21"/>
      <c r="J18" s="21"/>
      <c r="K18" s="21"/>
      <c r="L18" s="37"/>
      <c r="M18" s="38"/>
    </row>
    <row r="19" spans="1:13" x14ac:dyDescent="0.25">
      <c r="A19" s="48" t="s">
        <v>38</v>
      </c>
      <c r="B19" s="266">
        <f>SUM(B13:B18)</f>
        <v>94.048425554854788</v>
      </c>
      <c r="C19" s="267">
        <f>SUM(C13:C18)</f>
        <v>100.00045248687351</v>
      </c>
      <c r="D19" s="266">
        <f>SUM(D13:D18)</f>
        <v>1.000004524868735</v>
      </c>
      <c r="E19" s="19" t="s">
        <v>6</v>
      </c>
      <c r="J19" s="21"/>
      <c r="L19" s="38"/>
    </row>
    <row r="20" spans="1:13" x14ac:dyDescent="0.25">
      <c r="A20" s="31"/>
      <c r="B20" s="32"/>
      <c r="C20" s="32"/>
      <c r="D20" s="32"/>
      <c r="J20" s="21"/>
    </row>
    <row r="21" spans="1:13" ht="15.75" thickBot="1" x14ac:dyDescent="0.3">
      <c r="B21" s="2"/>
      <c r="C21" s="2"/>
      <c r="D21" s="2"/>
    </row>
    <row r="22" spans="1:13" x14ac:dyDescent="0.25">
      <c r="A22" s="25" t="s">
        <v>20</v>
      </c>
      <c r="B22" s="33" t="s">
        <v>5</v>
      </c>
      <c r="C22" s="33" t="s">
        <v>8</v>
      </c>
      <c r="D22" s="33" t="s">
        <v>9</v>
      </c>
      <c r="E22" s="34" t="s">
        <v>10</v>
      </c>
      <c r="F22" s="27" t="s">
        <v>10</v>
      </c>
    </row>
    <row r="23" spans="1:13" x14ac:dyDescent="0.25">
      <c r="A23" s="35" t="s">
        <v>15</v>
      </c>
      <c r="B23" s="258">
        <f t="shared" ref="B23:B28" si="2">D13*0.615053837690535</f>
        <v>2.2670756290457806E-3</v>
      </c>
      <c r="C23" s="258">
        <f t="shared" ref="C23:C28" si="3">D13*0.339806518697437</f>
        <v>1.2525197469257314E-3</v>
      </c>
      <c r="D23" s="258">
        <f>D13*0.0451396436251048</f>
        <v>1.6638378576832292E-4</v>
      </c>
      <c r="E23" s="259">
        <f>SUM(B23:D23)</f>
        <v>3.6859791617398349E-3</v>
      </c>
      <c r="F23" s="260"/>
    </row>
    <row r="24" spans="1:13" x14ac:dyDescent="0.25">
      <c r="A24" s="35" t="s">
        <v>16</v>
      </c>
      <c r="B24" s="258">
        <f t="shared" si="2"/>
        <v>7.1121407966215675E-2</v>
      </c>
      <c r="C24" s="258">
        <f t="shared" si="3"/>
        <v>3.9293337533843377E-2</v>
      </c>
      <c r="D24" s="258">
        <f>D14*0.0451396436251048</f>
        <v>5.2196975499988326E-3</v>
      </c>
      <c r="E24" s="259">
        <f t="shared" ref="E24:E28" si="4">SUM(B24:D24)</f>
        <v>0.11563444305005789</v>
      </c>
      <c r="F24" s="261"/>
    </row>
    <row r="25" spans="1:13" x14ac:dyDescent="0.25">
      <c r="A25" s="35" t="s">
        <v>17</v>
      </c>
      <c r="B25" s="258">
        <f t="shared" si="2"/>
        <v>0.35328340498092464</v>
      </c>
      <c r="C25" s="258">
        <f t="shared" si="3"/>
        <v>0.19518291993902989</v>
      </c>
      <c r="D25" s="258">
        <f>D15*0.0451396436251048</f>
        <v>2.5927953005516091E-2</v>
      </c>
      <c r="E25" s="259">
        <f t="shared" si="4"/>
        <v>0.5743942779254706</v>
      </c>
      <c r="F25" s="262"/>
      <c r="G25" s="13"/>
    </row>
    <row r="26" spans="1:13" x14ac:dyDescent="0.25">
      <c r="A26" s="35" t="s">
        <v>18</v>
      </c>
      <c r="B26" s="258">
        <f t="shared" si="2"/>
        <v>0.16101255159145841</v>
      </c>
      <c r="C26" s="258">
        <f t="shared" si="3"/>
        <v>8.8956626672434341E-2</v>
      </c>
      <c r="D26" s="258">
        <f>D16*0.0451396436251048</f>
        <v>1.1816931710072769E-2</v>
      </c>
      <c r="E26" s="259">
        <f t="shared" si="4"/>
        <v>0.26178610997396551</v>
      </c>
      <c r="F26" s="262"/>
      <c r="G26" s="31"/>
    </row>
    <row r="27" spans="1:13" x14ac:dyDescent="0.25">
      <c r="A27" s="35" t="s">
        <v>19</v>
      </c>
      <c r="B27" s="258">
        <f t="shared" si="2"/>
        <v>2.3665860192459691E-2</v>
      </c>
      <c r="C27" s="258">
        <f t="shared" si="3"/>
        <v>1.3074975020359487E-2</v>
      </c>
      <c r="D27" s="258">
        <f>D17*0.0451396436251048</f>
        <v>1.7368698961060462E-3</v>
      </c>
      <c r="E27" s="259">
        <f t="shared" si="4"/>
        <v>3.8477705108925224E-2</v>
      </c>
      <c r="F27" s="263"/>
      <c r="G27" s="31"/>
    </row>
    <row r="28" spans="1:13" x14ac:dyDescent="0.25">
      <c r="A28" s="439" t="s">
        <v>493</v>
      </c>
      <c r="B28" s="258">
        <f t="shared" si="2"/>
        <v>3.7063203683112946E-3</v>
      </c>
      <c r="C28" s="258">
        <f t="shared" si="3"/>
        <v>2.0476773647365616E-3</v>
      </c>
      <c r="D28" s="258">
        <v>0</v>
      </c>
      <c r="E28" s="259">
        <f t="shared" si="4"/>
        <v>5.7539977330478562E-3</v>
      </c>
      <c r="F28" s="263"/>
      <c r="G28" s="31"/>
    </row>
    <row r="29" spans="1:13" ht="15.75" thickBot="1" x14ac:dyDescent="0.3">
      <c r="A29" s="36" t="s">
        <v>38</v>
      </c>
      <c r="B29" s="264">
        <f>SUM(B23:B28)</f>
        <v>0.61505662072841549</v>
      </c>
      <c r="C29" s="264">
        <f>SUM(C23:C28)</f>
        <v>0.33980805627732935</v>
      </c>
      <c r="D29" s="264">
        <f>SUM(D23:D28)</f>
        <v>4.4867835947462062E-2</v>
      </c>
      <c r="E29" s="259">
        <f>SUM(E23:E28)</f>
        <v>0.99973251295320698</v>
      </c>
      <c r="F29" s="265">
        <f>SUM(B29:D29)</f>
        <v>0.99973251295320686</v>
      </c>
      <c r="G29" s="31"/>
    </row>
    <row r="30" spans="1:13" ht="15.75" thickBot="1" x14ac:dyDescent="0.3">
      <c r="G30" s="31"/>
    </row>
    <row r="31" spans="1:13" ht="15.75" thickBot="1" x14ac:dyDescent="0.3">
      <c r="C31" s="627" t="s">
        <v>382</v>
      </c>
      <c r="D31" s="628"/>
    </row>
    <row r="32" spans="1:13" x14ac:dyDescent="0.25">
      <c r="C32" s="47" t="s">
        <v>373</v>
      </c>
      <c r="D32" s="443" t="s">
        <v>37</v>
      </c>
    </row>
    <row r="33" spans="3:5" x14ac:dyDescent="0.25">
      <c r="C33" s="45" t="s">
        <v>22</v>
      </c>
      <c r="D33" s="585">
        <f>B23</f>
        <v>2.2670756290457806E-3</v>
      </c>
    </row>
    <row r="34" spans="3:5" x14ac:dyDescent="0.25">
      <c r="C34" s="45" t="s">
        <v>23</v>
      </c>
      <c r="D34" s="585">
        <f>B24</f>
        <v>7.1121407966215675E-2</v>
      </c>
    </row>
    <row r="35" spans="3:5" x14ac:dyDescent="0.25">
      <c r="C35" s="45" t="s">
        <v>24</v>
      </c>
      <c r="D35" s="585">
        <f>B25</f>
        <v>0.35328340498092464</v>
      </c>
    </row>
    <row r="36" spans="3:5" x14ac:dyDescent="0.25">
      <c r="C36" s="45" t="s">
        <v>25</v>
      </c>
      <c r="D36" s="585">
        <f>B26</f>
        <v>0.16101255159145841</v>
      </c>
    </row>
    <row r="37" spans="3:5" x14ac:dyDescent="0.25">
      <c r="C37" s="45" t="s">
        <v>26</v>
      </c>
      <c r="D37" s="585">
        <f>B27</f>
        <v>2.3665860192459691E-2</v>
      </c>
    </row>
    <row r="38" spans="3:5" x14ac:dyDescent="0.25">
      <c r="C38" s="46" t="s">
        <v>27</v>
      </c>
      <c r="D38" s="586">
        <f>C23</f>
        <v>1.2525197469257314E-3</v>
      </c>
    </row>
    <row r="39" spans="3:5" x14ac:dyDescent="0.25">
      <c r="C39" s="46" t="s">
        <v>28</v>
      </c>
      <c r="D39" s="586">
        <f>C24</f>
        <v>3.9293337533843377E-2</v>
      </c>
    </row>
    <row r="40" spans="3:5" x14ac:dyDescent="0.25">
      <c r="C40" s="46" t="s">
        <v>29</v>
      </c>
      <c r="D40" s="586">
        <f>C25</f>
        <v>0.19518291993902989</v>
      </c>
    </row>
    <row r="41" spans="3:5" x14ac:dyDescent="0.25">
      <c r="C41" s="46" t="s">
        <v>30</v>
      </c>
      <c r="D41" s="586">
        <f>C26</f>
        <v>8.8956626672434341E-2</v>
      </c>
    </row>
    <row r="42" spans="3:5" x14ac:dyDescent="0.25">
      <c r="C42" s="46" t="s">
        <v>31</v>
      </c>
      <c r="D42" s="586">
        <f>C27</f>
        <v>1.3074975020359487E-2</v>
      </c>
    </row>
    <row r="43" spans="3:5" x14ac:dyDescent="0.25">
      <c r="C43" s="45" t="s">
        <v>32</v>
      </c>
      <c r="D43" s="587">
        <f>D23</f>
        <v>1.6638378576832292E-4</v>
      </c>
    </row>
    <row r="44" spans="3:5" x14ac:dyDescent="0.25">
      <c r="C44" s="45" t="s">
        <v>33</v>
      </c>
      <c r="D44" s="587">
        <f>D24</f>
        <v>5.2196975499988326E-3</v>
      </c>
      <c r="E44" s="43"/>
    </row>
    <row r="45" spans="3:5" x14ac:dyDescent="0.25">
      <c r="C45" s="45" t="s">
        <v>34</v>
      </c>
      <c r="D45" s="587">
        <f>D25</f>
        <v>2.5927953005516091E-2</v>
      </c>
      <c r="E45" s="43"/>
    </row>
    <row r="46" spans="3:5" x14ac:dyDescent="0.25">
      <c r="C46" s="45" t="s">
        <v>35</v>
      </c>
      <c r="D46" s="587">
        <f>D26</f>
        <v>1.1816931710072769E-2</v>
      </c>
      <c r="E46" s="43"/>
    </row>
    <row r="47" spans="3:5" x14ac:dyDescent="0.25">
      <c r="C47" s="45" t="s">
        <v>36</v>
      </c>
      <c r="D47" s="587">
        <f>D27</f>
        <v>1.7368698961060462E-3</v>
      </c>
      <c r="E47" s="43"/>
    </row>
    <row r="48" spans="3:5" x14ac:dyDescent="0.25">
      <c r="C48" s="46" t="s">
        <v>495</v>
      </c>
      <c r="D48" s="586">
        <f>B28</f>
        <v>3.7063203683112946E-3</v>
      </c>
      <c r="E48" s="43"/>
    </row>
    <row r="49" spans="3:5" ht="15.75" thickBot="1" x14ac:dyDescent="0.3">
      <c r="C49" s="445" t="s">
        <v>494</v>
      </c>
      <c r="D49" s="588">
        <f>C28</f>
        <v>2.0476773647365616E-3</v>
      </c>
      <c r="E49" s="43"/>
    </row>
    <row r="50" spans="3:5" ht="15.75" thickBot="1" x14ac:dyDescent="0.3">
      <c r="C50" s="440" t="s">
        <v>10</v>
      </c>
      <c r="D50" s="441">
        <f>SUM(D33:D49)</f>
        <v>0.99973251295320686</v>
      </c>
      <c r="E50" s="43"/>
    </row>
    <row r="51" spans="3:5" x14ac:dyDescent="0.25">
      <c r="E51" s="30"/>
    </row>
  </sheetData>
  <mergeCells count="1">
    <mergeCell ref="C31:D3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ySplit="1" topLeftCell="A2" activePane="bottomLeft" state="frozen"/>
      <selection pane="bottomLeft" activeCell="G20" sqref="G20"/>
    </sheetView>
  </sheetViews>
  <sheetFormatPr baseColWidth="10" defaultColWidth="9.140625" defaultRowHeight="15" x14ac:dyDescent="0.25"/>
  <cols>
    <col min="1" max="1" width="19.28515625" customWidth="1"/>
    <col min="2" max="2" width="9.140625" style="2"/>
    <col min="3" max="3" width="11.42578125" style="2" customWidth="1"/>
    <col min="4" max="5" width="9.140625" style="2"/>
    <col min="6" max="6" width="13.42578125" customWidth="1"/>
    <col min="8" max="8" width="14" customWidth="1"/>
    <col min="9" max="9" width="13.7109375" customWidth="1"/>
    <col min="11" max="11" width="16.42578125" customWidth="1"/>
    <col min="12" max="12" width="21.140625" customWidth="1"/>
    <col min="13" max="13" width="21.42578125" customWidth="1"/>
  </cols>
  <sheetData>
    <row r="1" spans="1:14" ht="23.25" customHeight="1" x14ac:dyDescent="0.35">
      <c r="A1" s="617" t="s">
        <v>516</v>
      </c>
      <c r="B1" s="289"/>
      <c r="C1" s="289"/>
      <c r="D1" s="289"/>
      <c r="E1" s="289"/>
      <c r="F1" s="290"/>
      <c r="G1" s="290"/>
      <c r="H1" s="290"/>
      <c r="I1" s="290"/>
      <c r="J1" s="290"/>
      <c r="K1" s="290"/>
      <c r="L1" s="290"/>
      <c r="M1" s="290"/>
      <c r="N1" s="291"/>
    </row>
    <row r="2" spans="1:14" x14ac:dyDescent="0.25">
      <c r="A2" s="292"/>
      <c r="B2" s="293"/>
      <c r="C2" s="293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5"/>
    </row>
    <row r="3" spans="1:14" ht="15.75" thickBot="1" x14ac:dyDescent="0.3">
      <c r="A3" s="296" t="s">
        <v>400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8"/>
    </row>
    <row r="4" spans="1:14" ht="15.75" thickBot="1" x14ac:dyDescent="0.3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5.75" thickBot="1" x14ac:dyDescent="0.3">
      <c r="B5" s="31"/>
      <c r="C5" s="331" t="s">
        <v>383</v>
      </c>
      <c r="D5" s="244" t="s">
        <v>384</v>
      </c>
      <c r="E5" s="244"/>
      <c r="F5" s="244" t="s">
        <v>385</v>
      </c>
      <c r="G5" s="244" t="s">
        <v>384</v>
      </c>
      <c r="H5" s="244"/>
      <c r="I5" s="244" t="s">
        <v>386</v>
      </c>
      <c r="J5" s="244" t="s">
        <v>384</v>
      </c>
      <c r="K5" s="244"/>
      <c r="L5" s="244" t="s">
        <v>387</v>
      </c>
      <c r="M5" s="245" t="s">
        <v>410</v>
      </c>
    </row>
    <row r="6" spans="1:14" x14ac:dyDescent="0.25">
      <c r="B6" s="246" t="s">
        <v>48</v>
      </c>
      <c r="C6" s="332">
        <v>6960</v>
      </c>
      <c r="D6" s="252">
        <f>C6/31780</f>
        <v>0.21900566393958465</v>
      </c>
      <c r="E6" s="252">
        <f>D6*0.8</f>
        <v>0.17520453115166773</v>
      </c>
      <c r="F6" s="332">
        <v>1621</v>
      </c>
      <c r="G6" s="252">
        <f>F6/5751</f>
        <v>0.28186402364806118</v>
      </c>
      <c r="H6" s="252">
        <f>G6*0.15</f>
        <v>4.2279603547209173E-2</v>
      </c>
      <c r="I6" s="252">
        <v>1783387</v>
      </c>
      <c r="J6" s="252">
        <f>I6/5349021</f>
        <v>0.33340437437056236</v>
      </c>
      <c r="K6" s="252">
        <f>J6*0.05</f>
        <v>1.6670218718528119E-2</v>
      </c>
      <c r="L6" s="333">
        <f>E6+H6+K6</f>
        <v>0.23415435341740501</v>
      </c>
      <c r="M6" s="334" t="s">
        <v>128</v>
      </c>
    </row>
    <row r="7" spans="1:14" x14ac:dyDescent="0.25">
      <c r="B7" s="247" t="s">
        <v>388</v>
      </c>
      <c r="C7" s="330">
        <v>9771</v>
      </c>
      <c r="D7" s="42">
        <f>C7/31780</f>
        <v>0.30745752045311514</v>
      </c>
      <c r="E7" s="42">
        <f>D7*0.8</f>
        <v>0.24596601636249213</v>
      </c>
      <c r="F7" s="330">
        <v>1800</v>
      </c>
      <c r="G7" s="42">
        <f>F7/5751</f>
        <v>0.3129890453834116</v>
      </c>
      <c r="H7" s="42">
        <f>G7*0.15</f>
        <v>4.6948356807511742E-2</v>
      </c>
      <c r="I7" s="42">
        <v>1696875</v>
      </c>
      <c r="J7" s="42">
        <f>I7/5349021</f>
        <v>0.31723094749487801</v>
      </c>
      <c r="K7" s="42">
        <f>J7*0.05</f>
        <v>1.5861547374743903E-2</v>
      </c>
      <c r="L7" s="40">
        <f>E7+H7+K7</f>
        <v>0.30877592054474773</v>
      </c>
      <c r="M7" s="335" t="s">
        <v>130</v>
      </c>
    </row>
    <row r="8" spans="1:14" x14ac:dyDescent="0.25">
      <c r="B8" s="247" t="s">
        <v>434</v>
      </c>
      <c r="C8" s="330">
        <v>6750</v>
      </c>
      <c r="D8" s="42">
        <f>C8/31780</f>
        <v>0.21239773442416615</v>
      </c>
      <c r="E8" s="42">
        <f>D8*0.8</f>
        <v>0.16991818753933294</v>
      </c>
      <c r="F8" s="330">
        <v>1229</v>
      </c>
      <c r="G8" s="42">
        <f>F8/5751</f>
        <v>0.21370196487567381</v>
      </c>
      <c r="H8" s="42">
        <f>G8*0.15</f>
        <v>3.2055294731351068E-2</v>
      </c>
      <c r="I8" s="42">
        <v>845159</v>
      </c>
      <c r="J8" s="42">
        <f>I8/5349021</f>
        <v>0.15800255785124045</v>
      </c>
      <c r="K8" s="42">
        <f>J8*0.05</f>
        <v>7.9001278925620224E-3</v>
      </c>
      <c r="L8" s="40">
        <f>E8+H8+K8</f>
        <v>0.20987361016324604</v>
      </c>
      <c r="M8" s="335" t="s">
        <v>132</v>
      </c>
    </row>
    <row r="9" spans="1:14" ht="15.75" thickBot="1" x14ac:dyDescent="0.3">
      <c r="B9" s="248" t="s">
        <v>389</v>
      </c>
      <c r="C9" s="336">
        <v>8299</v>
      </c>
      <c r="D9" s="253">
        <f>C9/31780</f>
        <v>0.26113908118313406</v>
      </c>
      <c r="E9" s="253">
        <f>D9*0.8</f>
        <v>0.20891126494650725</v>
      </c>
      <c r="F9" s="336">
        <v>1101</v>
      </c>
      <c r="G9" s="253">
        <f>F9/5751</f>
        <v>0.19144496609285341</v>
      </c>
      <c r="H9" s="253">
        <f>G9*0.15</f>
        <v>2.8716744913928012E-2</v>
      </c>
      <c r="I9" s="253">
        <v>1023600</v>
      </c>
      <c r="J9" s="253">
        <f>I9/5349021</f>
        <v>0.19136212028331914</v>
      </c>
      <c r="K9" s="253">
        <f>J9*0.05</f>
        <v>9.5681060141659582E-3</v>
      </c>
      <c r="L9" s="337">
        <f>E9+H9+K9</f>
        <v>0.24719611587460122</v>
      </c>
      <c r="M9" s="338" t="s">
        <v>433</v>
      </c>
    </row>
    <row r="10" spans="1:14" ht="15.75" thickBot="1" x14ac:dyDescent="0.3">
      <c r="B10" s="249" t="s">
        <v>10</v>
      </c>
      <c r="C10" s="250">
        <f t="shared" ref="C10:L10" si="0">SUM(C6:C9)</f>
        <v>31780</v>
      </c>
      <c r="D10" s="250">
        <f t="shared" si="0"/>
        <v>1</v>
      </c>
      <c r="E10" s="250">
        <f t="shared" si="0"/>
        <v>0.8</v>
      </c>
      <c r="F10" s="250">
        <f t="shared" si="0"/>
        <v>5751</v>
      </c>
      <c r="G10" s="250">
        <f t="shared" si="0"/>
        <v>1</v>
      </c>
      <c r="H10" s="250">
        <f t="shared" si="0"/>
        <v>0.15</v>
      </c>
      <c r="I10" s="250">
        <f t="shared" si="0"/>
        <v>5349021</v>
      </c>
      <c r="J10" s="250">
        <f t="shared" si="0"/>
        <v>1</v>
      </c>
      <c r="K10" s="250">
        <f t="shared" si="0"/>
        <v>0.05</v>
      </c>
      <c r="L10" s="251">
        <f t="shared" si="0"/>
        <v>1</v>
      </c>
    </row>
    <row r="11" spans="1:14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4" x14ac:dyDescent="0.25">
      <c r="B12" s="44" t="s">
        <v>399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D17" sqref="D17"/>
    </sheetView>
  </sheetViews>
  <sheetFormatPr baseColWidth="10" defaultColWidth="9.140625" defaultRowHeight="15" x14ac:dyDescent="0.25"/>
  <cols>
    <col min="3" max="3" width="15.85546875" customWidth="1"/>
    <col min="4" max="4" width="17" customWidth="1"/>
    <col min="5" max="5" width="11.140625" customWidth="1"/>
    <col min="6" max="6" width="12" customWidth="1"/>
    <col min="7" max="7" width="20.28515625" customWidth="1"/>
  </cols>
  <sheetData>
    <row r="1" spans="1:10" ht="23.25" x14ac:dyDescent="0.35">
      <c r="A1" s="617" t="s">
        <v>517</v>
      </c>
      <c r="B1" s="290"/>
      <c r="C1" s="290"/>
      <c r="D1" s="290"/>
      <c r="E1" s="290"/>
      <c r="F1" s="290"/>
      <c r="G1" s="290"/>
      <c r="H1" s="290"/>
      <c r="I1" s="290"/>
      <c r="J1" s="291"/>
    </row>
    <row r="2" spans="1:10" x14ac:dyDescent="0.25">
      <c r="A2" s="292"/>
      <c r="B2" s="294"/>
      <c r="C2" s="294"/>
      <c r="D2" s="294"/>
      <c r="E2" s="294"/>
      <c r="F2" s="294"/>
      <c r="G2" s="294"/>
      <c r="H2" s="294"/>
      <c r="I2" s="294"/>
      <c r="J2" s="295"/>
    </row>
    <row r="3" spans="1:10" ht="15.75" thickBot="1" x14ac:dyDescent="0.3">
      <c r="A3" s="296" t="s">
        <v>395</v>
      </c>
      <c r="B3" s="297"/>
      <c r="C3" s="297"/>
      <c r="D3" s="297"/>
      <c r="E3" s="297"/>
      <c r="F3" s="297"/>
      <c r="G3" s="297"/>
      <c r="H3" s="297"/>
      <c r="I3" s="297"/>
      <c r="J3" s="298"/>
    </row>
    <row r="4" spans="1:10" ht="15.75" thickBot="1" x14ac:dyDescent="0.3"/>
    <row r="5" spans="1:10" ht="16.5" thickBot="1" x14ac:dyDescent="0.3">
      <c r="C5" s="314" t="s">
        <v>396</v>
      </c>
      <c r="D5" s="327" t="s">
        <v>397</v>
      </c>
      <c r="E5" s="328" t="s">
        <v>394</v>
      </c>
      <c r="F5" s="327" t="s">
        <v>398</v>
      </c>
      <c r="G5" s="329" t="s">
        <v>410</v>
      </c>
    </row>
    <row r="6" spans="1:10" ht="15.75" x14ac:dyDescent="0.25">
      <c r="C6" s="268" t="s">
        <v>390</v>
      </c>
      <c r="D6" s="256">
        <v>1186504</v>
      </c>
      <c r="E6" s="257">
        <f>(D6/6181863)*100</f>
        <v>19.1933079073412</v>
      </c>
      <c r="F6" s="325">
        <f>E6/100</f>
        <v>0.19193307907341201</v>
      </c>
      <c r="G6" s="326" t="s">
        <v>117</v>
      </c>
    </row>
    <row r="7" spans="1:10" ht="15.75" x14ac:dyDescent="0.25">
      <c r="C7" s="269" t="s">
        <v>393</v>
      </c>
      <c r="D7" s="254">
        <v>1889954</v>
      </c>
      <c r="E7" s="255">
        <f>(D7/6181863)*100</f>
        <v>30.572563643031238</v>
      </c>
      <c r="F7" s="315">
        <f>E7/100</f>
        <v>0.30572563643031236</v>
      </c>
      <c r="G7" s="324" t="s">
        <v>121</v>
      </c>
    </row>
    <row r="8" spans="1:10" ht="15.75" x14ac:dyDescent="0.25">
      <c r="C8" s="269" t="s">
        <v>392</v>
      </c>
      <c r="D8" s="254">
        <v>1913381</v>
      </c>
      <c r="E8" s="255">
        <f>(D8/6181863)*100</f>
        <v>30.951527072016965</v>
      </c>
      <c r="F8" s="315">
        <f>E8/100</f>
        <v>0.30951527072016966</v>
      </c>
      <c r="G8" s="324" t="s">
        <v>123</v>
      </c>
    </row>
    <row r="9" spans="1:10" ht="16.5" thickBot="1" x14ac:dyDescent="0.3">
      <c r="C9" s="316" t="s">
        <v>391</v>
      </c>
      <c r="D9" s="317">
        <v>1192024</v>
      </c>
      <c r="E9" s="318">
        <f>(D9/6181863)*100</f>
        <v>19.2826013776106</v>
      </c>
      <c r="F9" s="319">
        <f>E9/100</f>
        <v>0.192826013776106</v>
      </c>
      <c r="G9" s="324" t="s">
        <v>125</v>
      </c>
    </row>
    <row r="10" spans="1:10" ht="16.5" thickBot="1" x14ac:dyDescent="0.3">
      <c r="C10" s="320" t="s">
        <v>38</v>
      </c>
      <c r="D10" s="321">
        <f>SUM(D6:D9)</f>
        <v>6181863</v>
      </c>
      <c r="E10" s="322">
        <f>SUM(E6:E9)</f>
        <v>100</v>
      </c>
      <c r="F10" s="323">
        <f>SUM(F6:F9)</f>
        <v>1</v>
      </c>
      <c r="G10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Macromolecular Composition</vt:lpstr>
      <vt:lpstr>Biomass_WT</vt:lpstr>
      <vt:lpstr>Biomass Core</vt:lpstr>
      <vt:lpstr>Soluble pool</vt:lpstr>
      <vt:lpstr>Ions</vt:lpstr>
      <vt:lpstr>Murein</vt:lpstr>
      <vt:lpstr>Lipids </vt:lpstr>
      <vt:lpstr>RNA</vt:lpstr>
      <vt:lpstr>DNA</vt:lpstr>
      <vt:lpstr>Amino acids</vt:lpstr>
      <vt:lpstr>Lipid Core</vt:lpstr>
      <vt:lpstr>Soluble Core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Nogales Enrique</dc:creator>
  <cp:lastModifiedBy>jnogales</cp:lastModifiedBy>
  <dcterms:created xsi:type="dcterms:W3CDTF">2012-03-16T20:58:03Z</dcterms:created>
  <dcterms:modified xsi:type="dcterms:W3CDTF">2019-08-06T09:15:16Z</dcterms:modified>
</cp:coreProperties>
</file>